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thays.falcao\Desktop\EXCEL\"/>
    </mc:Choice>
  </mc:AlternateContent>
  <xr:revisionPtr revIDLastSave="0" documentId="13_ncr:1_{DCEBEBA4-D038-439F-AE82-BEC478B15650}" xr6:coauthVersionLast="47" xr6:coauthVersionMax="47" xr10:uidLastSave="{00000000-0000-0000-0000-000000000000}"/>
  <bookViews>
    <workbookView xWindow="-110" yWindow="-110" windowWidth="19420" windowHeight="10300" tabRatio="934" firstSheet="6" activeTab="7" xr2:uid="{00000000-000D-0000-FFFF-FFFF00000000}"/>
  </bookViews>
  <sheets>
    <sheet name="Preço Gás Adquirido" sheetId="1" r:id="rId1"/>
    <sheet name="Volume Gás Adquirido" sheetId="12" r:id="rId2"/>
    <sheet name="Montantes Aquisição" sheetId="3" r:id="rId3"/>
    <sheet name="Encargos" sheetId="4" r:id="rId4"/>
    <sheet name="Custos de Aquisição" sheetId="5" r:id="rId5"/>
    <sheet name="Custo Distribuição" sheetId="6" r:id="rId6"/>
    <sheet name="Volumes distribuídos" sheetId="7" r:id="rId7"/>
    <sheet name="CONTA GRÁFICA" sheetId="9" r:id="rId8"/>
    <sheet name="Volume projetado" sheetId="10" r:id="rId9"/>
    <sheet name="Atualização PV" sheetId="8" r:id="rId10"/>
    <sheet name="Indicadores" sheetId="11" r:id="rId11"/>
    <sheet name="Indicador - Dados primários" sheetId="1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5" l="1"/>
  <c r="D20" i="7"/>
  <c r="D24" i="7"/>
  <c r="D75" i="1"/>
  <c r="D6" i="10"/>
  <c r="E6" i="10"/>
  <c r="F6" i="10"/>
  <c r="G6" i="10"/>
  <c r="H6" i="10"/>
  <c r="I6" i="10"/>
  <c r="D7" i="10"/>
  <c r="E7" i="10"/>
  <c r="F7" i="10"/>
  <c r="G7" i="10"/>
  <c r="H7" i="10"/>
  <c r="I7" i="10"/>
  <c r="D8" i="10"/>
  <c r="E8" i="10"/>
  <c r="F8" i="10"/>
  <c r="G8" i="10"/>
  <c r="H8" i="10"/>
  <c r="I8" i="10"/>
  <c r="D4" i="10"/>
  <c r="E4" i="10"/>
  <c r="F4" i="10"/>
  <c r="G4" i="10"/>
  <c r="H4" i="10"/>
  <c r="I4" i="10"/>
  <c r="N9" i="5" l="1"/>
  <c r="E40" i="8" l="1"/>
  <c r="F40" i="8"/>
  <c r="G40" i="8"/>
  <c r="H40" i="8"/>
  <c r="D40" i="8"/>
  <c r="C40" i="8"/>
  <c r="H91" i="8" l="1"/>
  <c r="G91" i="8"/>
  <c r="F91" i="8"/>
  <c r="E91" i="8"/>
  <c r="D91" i="8"/>
  <c r="H90" i="8"/>
  <c r="H92" i="8" s="1"/>
  <c r="G90" i="8"/>
  <c r="G92" i="8" s="1"/>
  <c r="F90" i="8"/>
  <c r="F92" i="8" s="1"/>
  <c r="E90" i="8"/>
  <c r="D90" i="8"/>
  <c r="C90" i="8"/>
  <c r="D92" i="8" l="1"/>
  <c r="E92" i="8"/>
  <c r="N8" i="5"/>
  <c r="N5" i="4" l="1"/>
  <c r="N3" i="4"/>
  <c r="N7" i="9" l="1"/>
  <c r="C91" i="8" l="1"/>
  <c r="C92" i="8" s="1"/>
  <c r="E68" i="8" l="1"/>
  <c r="E67" i="8" s="1"/>
  <c r="F68" i="8"/>
  <c r="F67" i="8" s="1"/>
  <c r="G68" i="8"/>
  <c r="G67" i="8" s="1"/>
  <c r="H68" i="8"/>
  <c r="H67" i="8" s="1"/>
  <c r="D68" i="8"/>
  <c r="G61" i="8" l="1"/>
  <c r="E61" i="8"/>
  <c r="F61" i="8"/>
  <c r="H61" i="8"/>
  <c r="D61" i="8"/>
  <c r="D67" i="8"/>
  <c r="G4" i="8"/>
  <c r="H4" i="8"/>
  <c r="F4" i="8"/>
  <c r="E4" i="8"/>
  <c r="D4" i="8"/>
  <c r="G33" i="8"/>
  <c r="E33" i="8"/>
  <c r="F33" i="8"/>
  <c r="H33" i="8"/>
  <c r="D33" i="8"/>
  <c r="G47" i="8"/>
  <c r="F47" i="8"/>
  <c r="E47" i="8"/>
  <c r="H47" i="8"/>
  <c r="D47" i="8"/>
  <c r="O59" i="3" l="1"/>
  <c r="O60" i="3"/>
  <c r="O61" i="3" l="1"/>
  <c r="O62" i="3" s="1"/>
  <c r="N4" i="5" l="1"/>
  <c r="N13" i="4"/>
  <c r="N6" i="5" s="1"/>
  <c r="N8" i="4"/>
  <c r="N5" i="5" s="1"/>
  <c r="O33" i="3" l="1"/>
  <c r="O36" i="3"/>
  <c r="O39" i="3"/>
  <c r="O42" i="3"/>
  <c r="O45" i="3"/>
  <c r="O48" i="3"/>
  <c r="O51" i="3"/>
  <c r="O53" i="3"/>
  <c r="O54" i="3"/>
  <c r="O55" i="3"/>
  <c r="O3" i="3"/>
  <c r="O6" i="3"/>
  <c r="O9" i="3"/>
  <c r="O12" i="3"/>
  <c r="O15" i="3"/>
  <c r="O18" i="3"/>
  <c r="O21" i="3"/>
  <c r="O24" i="3"/>
  <c r="O27" i="3"/>
  <c r="O37" i="12"/>
  <c r="O38" i="12"/>
  <c r="O39" i="12"/>
  <c r="O40" i="12" l="1"/>
  <c r="N12" i="5" s="1"/>
  <c r="O43" i="1"/>
  <c r="O42" i="1" s="1"/>
  <c r="O61" i="1"/>
  <c r="O60" i="1" s="1"/>
  <c r="O25" i="1"/>
  <c r="O24" i="1" s="1"/>
  <c r="O9" i="1" l="1"/>
  <c r="O10" i="1"/>
  <c r="O8" i="1" l="1"/>
  <c r="G24" i="14"/>
  <c r="F23" i="14"/>
  <c r="O24" i="14"/>
  <c r="Y12" i="11"/>
  <c r="M9" i="5" l="1"/>
  <c r="M13" i="4" l="1"/>
  <c r="M6" i="5" s="1"/>
  <c r="M8" i="4"/>
  <c r="M5" i="5" s="1"/>
  <c r="N59" i="3"/>
  <c r="N60" i="3"/>
  <c r="N33" i="3"/>
  <c r="N36" i="3"/>
  <c r="N39" i="3"/>
  <c r="N42" i="3"/>
  <c r="N45" i="3"/>
  <c r="N48" i="3"/>
  <c r="N51" i="3"/>
  <c r="N53" i="3"/>
  <c r="N54" i="3"/>
  <c r="N27" i="3"/>
  <c r="N24" i="3"/>
  <c r="N21" i="3"/>
  <c r="N18" i="3"/>
  <c r="N15" i="3"/>
  <c r="N12" i="3"/>
  <c r="N9" i="3"/>
  <c r="N6" i="3"/>
  <c r="N3" i="3"/>
  <c r="N39" i="12"/>
  <c r="N38" i="12"/>
  <c r="N37" i="12"/>
  <c r="N9" i="1"/>
  <c r="N10" i="1"/>
  <c r="N61" i="3" l="1"/>
  <c r="N62" i="3" s="1"/>
  <c r="N55" i="3"/>
  <c r="M4" i="5"/>
  <c r="X20" i="11"/>
  <c r="M7" i="9" l="1"/>
  <c r="N18" i="7" l="1"/>
  <c r="N3" i="7" s="1"/>
  <c r="Y20" i="11" l="1"/>
  <c r="Z20" i="11" s="1"/>
  <c r="AA20" i="11" s="1"/>
  <c r="AB20" i="11" s="1"/>
  <c r="AC20" i="11" s="1"/>
  <c r="AD20" i="11" s="1"/>
  <c r="AE20" i="11" s="1"/>
  <c r="AF20" i="11" s="1"/>
  <c r="L8" i="1" l="1"/>
  <c r="E83" i="8" l="1"/>
  <c r="H83" i="8"/>
  <c r="G83" i="8"/>
  <c r="F83" i="8"/>
  <c r="E75" i="8"/>
  <c r="H75" i="8"/>
  <c r="G75" i="8"/>
  <c r="F75" i="8"/>
  <c r="G54" i="8"/>
  <c r="G53" i="8" s="1"/>
  <c r="F54" i="8"/>
  <c r="F53" i="8" s="1"/>
  <c r="E54" i="8"/>
  <c r="E53" i="8" s="1"/>
  <c r="G39" i="8"/>
  <c r="F39" i="8"/>
  <c r="E39" i="8"/>
  <c r="C12" i="8"/>
  <c r="C11" i="8"/>
  <c r="X7" i="11"/>
  <c r="Z3" i="11"/>
  <c r="Y3" i="11"/>
  <c r="C22" i="8" s="1"/>
  <c r="X3" i="11"/>
  <c r="O21" i="1" s="1"/>
  <c r="X2" i="11"/>
  <c r="P30" i="14"/>
  <c r="P31" i="14" s="1"/>
  <c r="P32" i="14" s="1"/>
  <c r="P27" i="14"/>
  <c r="F22" i="14"/>
  <c r="H94" i="8" l="1"/>
  <c r="G94" i="8"/>
  <c r="E94" i="8"/>
  <c r="H82" i="8"/>
  <c r="F94" i="8"/>
  <c r="F74" i="8" s="1"/>
  <c r="O38" i="1"/>
  <c r="O20" i="1"/>
  <c r="O30" i="1" s="1"/>
  <c r="O31" i="1" s="1"/>
  <c r="O8" i="3" s="1"/>
  <c r="O10" i="3" s="1"/>
  <c r="O56" i="1"/>
  <c r="O4" i="1"/>
  <c r="O39" i="1"/>
  <c r="O37" i="1" s="1"/>
  <c r="O57" i="1"/>
  <c r="O55" i="1" s="1"/>
  <c r="O5" i="1"/>
  <c r="O3" i="1" s="1"/>
  <c r="C10" i="8"/>
  <c r="G74" i="8"/>
  <c r="F46" i="8" l="1"/>
  <c r="F60" i="8"/>
  <c r="F3" i="8"/>
  <c r="F82" i="8"/>
  <c r="E32" i="8"/>
  <c r="E46" i="8"/>
  <c r="E3" i="8"/>
  <c r="E60" i="8"/>
  <c r="H46" i="8"/>
  <c r="H3" i="8"/>
  <c r="H32" i="8"/>
  <c r="G3" i="8"/>
  <c r="G32" i="8"/>
  <c r="G46" i="8"/>
  <c r="G60" i="8"/>
  <c r="G82" i="8"/>
  <c r="E74" i="8"/>
  <c r="H74" i="8"/>
  <c r="F32" i="8"/>
  <c r="E82" i="8"/>
  <c r="H60" i="8"/>
  <c r="O50" i="1"/>
  <c r="O41" i="3" s="1"/>
  <c r="O43" i="3" s="1"/>
  <c r="O51" i="1"/>
  <c r="O44" i="3" s="1"/>
  <c r="O46" i="3" s="1"/>
  <c r="O46" i="1"/>
  <c r="O11" i="3" s="1"/>
  <c r="O13" i="3" s="1"/>
  <c r="O68" i="1"/>
  <c r="O47" i="3" s="1"/>
  <c r="O49" i="3" s="1"/>
  <c r="O69" i="1"/>
  <c r="O50" i="3" s="1"/>
  <c r="O52" i="3" s="1"/>
  <c r="O64" i="1"/>
  <c r="O17" i="3" s="1"/>
  <c r="O19" i="3" s="1"/>
  <c r="O66" i="1"/>
  <c r="O67" i="1" s="1"/>
  <c r="O20" i="3" s="1"/>
  <c r="O22" i="3" s="1"/>
  <c r="O48" i="1"/>
  <c r="O49" i="1" s="1"/>
  <c r="O14" i="3" s="1"/>
  <c r="O16" i="3" s="1"/>
  <c r="O13" i="1"/>
  <c r="O2" i="3" s="1"/>
  <c r="O4" i="3" s="1"/>
  <c r="O14" i="1"/>
  <c r="O32" i="3" s="1"/>
  <c r="O34" i="3" s="1"/>
  <c r="O19" i="1"/>
  <c r="N8" i="1"/>
  <c r="N25" i="1"/>
  <c r="N24" i="1" s="1"/>
  <c r="N43" i="1"/>
  <c r="N42" i="1" s="1"/>
  <c r="N61" i="1"/>
  <c r="N60" i="1" s="1"/>
  <c r="O32" i="1" l="1"/>
  <c r="O35" i="3" s="1"/>
  <c r="O37" i="3" s="1"/>
  <c r="O56" i="3" s="1"/>
  <c r="N3" i="5" s="1"/>
  <c r="O33" i="1"/>
  <c r="O38" i="3" s="1"/>
  <c r="O40" i="3" s="1"/>
  <c r="O28" i="1"/>
  <c r="O5" i="3" s="1"/>
  <c r="O7" i="3" s="1"/>
  <c r="K9" i="5"/>
  <c r="L9" i="5" l="1"/>
  <c r="I9" i="5"/>
  <c r="H9" i="5"/>
  <c r="L8" i="4" l="1"/>
  <c r="L5" i="5" s="1"/>
  <c r="L13" i="4"/>
  <c r="L6" i="5" s="1"/>
  <c r="M33" i="3"/>
  <c r="M36" i="3"/>
  <c r="M39" i="3"/>
  <c r="M42" i="3"/>
  <c r="M45" i="3"/>
  <c r="M48" i="3"/>
  <c r="M51" i="3"/>
  <c r="M53" i="3"/>
  <c r="M54" i="3"/>
  <c r="M59" i="3"/>
  <c r="M61" i="3" s="1"/>
  <c r="L4" i="5" s="1"/>
  <c r="M60" i="3"/>
  <c r="M3" i="3"/>
  <c r="M6" i="3"/>
  <c r="M9" i="3"/>
  <c r="M12" i="3"/>
  <c r="M15" i="3"/>
  <c r="M18" i="3"/>
  <c r="M21" i="3"/>
  <c r="M27" i="3"/>
  <c r="M24" i="3"/>
  <c r="M37" i="12"/>
  <c r="M38" i="12"/>
  <c r="M39" i="12"/>
  <c r="M55" i="3" l="1"/>
  <c r="M62" i="3"/>
  <c r="M40" i="12"/>
  <c r="L12" i="5" s="1"/>
  <c r="L7" i="9" l="1"/>
  <c r="L18" i="6" l="1"/>
  <c r="L17" i="9" s="1"/>
  <c r="L5" i="6"/>
  <c r="M3" i="7"/>
  <c r="M17" i="7" l="1"/>
  <c r="M25" i="1"/>
  <c r="M24" i="1" s="1"/>
  <c r="M43" i="1"/>
  <c r="M42" i="1" s="1"/>
  <c r="M61" i="1"/>
  <c r="M60" i="1" s="1"/>
  <c r="F21" i="14" l="1"/>
  <c r="M8" i="1" l="1"/>
  <c r="L9" i="7" l="1"/>
  <c r="K9" i="7"/>
  <c r="J9" i="7"/>
  <c r="I9" i="7"/>
  <c r="H9" i="7"/>
  <c r="G9" i="7"/>
  <c r="F9" i="7"/>
  <c r="E9" i="7"/>
  <c r="D9" i="7"/>
  <c r="L5" i="7"/>
  <c r="K5" i="7"/>
  <c r="J5" i="7"/>
  <c r="I5" i="7"/>
  <c r="H5" i="7"/>
  <c r="G5" i="7"/>
  <c r="F5" i="7"/>
  <c r="E5" i="7"/>
  <c r="D5" i="7"/>
  <c r="L3" i="7"/>
  <c r="K3" i="7"/>
  <c r="J3" i="7"/>
  <c r="I3" i="7"/>
  <c r="I3" i="10" s="1"/>
  <c r="H3" i="7"/>
  <c r="H3" i="10" s="1"/>
  <c r="G3" i="7"/>
  <c r="G3" i="10" s="1"/>
  <c r="F3" i="7"/>
  <c r="F3" i="10" s="1"/>
  <c r="E3" i="7"/>
  <c r="E3" i="10" s="1"/>
  <c r="D3" i="7"/>
  <c r="D3" i="10" s="1"/>
  <c r="F20" i="14" l="1"/>
  <c r="F19" i="14"/>
  <c r="J9" i="5" l="1"/>
  <c r="O21" i="14" l="1"/>
  <c r="G21" i="14" l="1"/>
  <c r="K8" i="4" l="1"/>
  <c r="K5" i="5" s="1"/>
  <c r="K13" i="4"/>
  <c r="K6" i="5" s="1"/>
  <c r="L3" i="3"/>
  <c r="L6" i="3"/>
  <c r="L9" i="3"/>
  <c r="L12" i="3"/>
  <c r="L15" i="3"/>
  <c r="L18" i="3"/>
  <c r="L21" i="3"/>
  <c r="L27" i="3"/>
  <c r="L24" i="3"/>
  <c r="L33" i="3"/>
  <c r="L36" i="3"/>
  <c r="L39" i="3"/>
  <c r="L42" i="3"/>
  <c r="L45" i="3"/>
  <c r="L48" i="3"/>
  <c r="L51" i="3"/>
  <c r="L53" i="3"/>
  <c r="L54" i="3"/>
  <c r="L59" i="3"/>
  <c r="L60" i="3"/>
  <c r="L37" i="12"/>
  <c r="L39" i="12"/>
  <c r="L38" i="12"/>
  <c r="L55" i="3" l="1"/>
  <c r="L61" i="3"/>
  <c r="K4" i="5" s="1"/>
  <c r="L40" i="12"/>
  <c r="K12" i="5" s="1"/>
  <c r="K5" i="6"/>
  <c r="L62" i="3" l="1"/>
  <c r="M2" i="7"/>
  <c r="N2" i="7"/>
  <c r="O2" i="7"/>
  <c r="M5" i="7"/>
  <c r="N5" i="7"/>
  <c r="O5" i="7"/>
  <c r="M9" i="7"/>
  <c r="N9" i="7"/>
  <c r="O9" i="7"/>
  <c r="N17" i="7"/>
  <c r="O17" i="7"/>
  <c r="O30" i="7" s="1"/>
  <c r="M20" i="7"/>
  <c r="N20" i="7"/>
  <c r="O20" i="7"/>
  <c r="M24" i="7"/>
  <c r="N24" i="7"/>
  <c r="O24" i="7"/>
  <c r="M30" i="7" l="1"/>
  <c r="L6" i="6" s="1"/>
  <c r="L7" i="6" s="1"/>
  <c r="L15" i="6"/>
  <c r="N30" i="7"/>
  <c r="M15" i="6" s="1"/>
  <c r="O15" i="7"/>
  <c r="N15" i="7"/>
  <c r="M15" i="7"/>
  <c r="M32" i="7" l="1"/>
  <c r="L13" i="6"/>
  <c r="L16" i="6" s="1"/>
  <c r="L3" i="6"/>
  <c r="L4" i="6" s="1"/>
  <c r="O32" i="7"/>
  <c r="N13" i="6"/>
  <c r="N3" i="6"/>
  <c r="N32" i="7"/>
  <c r="M3" i="6"/>
  <c r="M13" i="6"/>
  <c r="K7" i="9"/>
  <c r="L43" i="1" l="1"/>
  <c r="L42" i="1" s="1"/>
  <c r="L61" i="1"/>
  <c r="L60" i="1" s="1"/>
  <c r="L25" i="1"/>
  <c r="L24" i="1" s="1"/>
  <c r="C9" i="5" l="1"/>
  <c r="N18" i="6" l="1"/>
  <c r="N17" i="9" s="1"/>
  <c r="M18" i="6"/>
  <c r="M17" i="9" s="1"/>
  <c r="K18" i="6"/>
  <c r="K17" i="9" s="1"/>
  <c r="N15" i="6"/>
  <c r="N6" i="6"/>
  <c r="M6" i="6"/>
  <c r="N5" i="6"/>
  <c r="N7" i="6" s="1"/>
  <c r="M5" i="6"/>
  <c r="M7" i="6" s="1"/>
  <c r="D83" i="8" l="1"/>
  <c r="D75" i="8"/>
  <c r="D54" i="8"/>
  <c r="D53" i="8" s="1"/>
  <c r="D39" i="8"/>
  <c r="D94" i="8" l="1"/>
  <c r="D60" i="8" s="1"/>
  <c r="D82" i="8"/>
  <c r="D74" i="8"/>
  <c r="D32" i="8"/>
  <c r="D3" i="8"/>
  <c r="D46" i="8" l="1"/>
  <c r="C83" i="8"/>
  <c r="C75" i="8"/>
  <c r="C47" i="8"/>
  <c r="C33" i="8"/>
  <c r="C19" i="8"/>
  <c r="C4" i="8"/>
  <c r="C94" i="8" s="1"/>
  <c r="D5" i="6" l="1"/>
  <c r="E5" i="6"/>
  <c r="F5" i="6"/>
  <c r="G5" i="6"/>
  <c r="H5" i="6"/>
  <c r="J5" i="6"/>
  <c r="C5" i="6"/>
  <c r="J7" i="9" l="1"/>
  <c r="K3" i="3"/>
  <c r="K6" i="3"/>
  <c r="K9" i="3"/>
  <c r="K12" i="3"/>
  <c r="K15" i="3"/>
  <c r="K18" i="3"/>
  <c r="K21" i="3"/>
  <c r="K27" i="3"/>
  <c r="K24" i="3"/>
  <c r="K33" i="3"/>
  <c r="K36" i="3"/>
  <c r="K39" i="3"/>
  <c r="K42" i="3"/>
  <c r="K45" i="3"/>
  <c r="K48" i="3"/>
  <c r="K51" i="3"/>
  <c r="K53" i="3"/>
  <c r="K54" i="3"/>
  <c r="K59" i="3"/>
  <c r="K60" i="3"/>
  <c r="J13" i="4"/>
  <c r="J6" i="5" s="1"/>
  <c r="J8" i="4"/>
  <c r="J5" i="5" s="1"/>
  <c r="K61" i="3" l="1"/>
  <c r="K62" i="3" s="1"/>
  <c r="K55" i="3"/>
  <c r="J4" i="5" l="1"/>
  <c r="D10" i="10" l="1"/>
  <c r="E10" i="10"/>
  <c r="F10" i="10"/>
  <c r="G10" i="10"/>
  <c r="H10" i="10"/>
  <c r="I10" i="10"/>
  <c r="D11" i="10"/>
  <c r="E11" i="10"/>
  <c r="F11" i="10"/>
  <c r="G11" i="10"/>
  <c r="H11" i="10"/>
  <c r="I11" i="10"/>
  <c r="D12" i="10"/>
  <c r="E12" i="10"/>
  <c r="F12" i="10"/>
  <c r="G12" i="10"/>
  <c r="H12" i="10"/>
  <c r="I12" i="10"/>
  <c r="D13" i="10"/>
  <c r="E13" i="10"/>
  <c r="F13" i="10"/>
  <c r="G13" i="10"/>
  <c r="H13" i="10"/>
  <c r="I13" i="10"/>
  <c r="D14" i="10"/>
  <c r="E14" i="10"/>
  <c r="F14" i="10"/>
  <c r="G14" i="10"/>
  <c r="H14" i="10"/>
  <c r="I14" i="10"/>
  <c r="I9" i="10" l="1"/>
  <c r="E9" i="10"/>
  <c r="E5" i="10"/>
  <c r="H2" i="10"/>
  <c r="D2" i="10"/>
  <c r="G5" i="10"/>
  <c r="I5" i="10"/>
  <c r="H9" i="10"/>
  <c r="D9" i="10"/>
  <c r="F5" i="10"/>
  <c r="G2" i="10"/>
  <c r="G9" i="10"/>
  <c r="F2" i="10"/>
  <c r="F9" i="10"/>
  <c r="H5" i="10"/>
  <c r="D5" i="10"/>
  <c r="I2" i="10"/>
  <c r="E2" i="10"/>
  <c r="E15" i="10" l="1"/>
  <c r="G15" i="10"/>
  <c r="D15" i="10"/>
  <c r="H15" i="10"/>
  <c r="I15" i="10"/>
  <c r="F15" i="10"/>
  <c r="N13" i="9" l="1"/>
  <c r="N11" i="9" s="1"/>
  <c r="N12" i="9"/>
  <c r="L3" i="9"/>
  <c r="L9" i="6"/>
  <c r="L2" i="9" s="1"/>
  <c r="N16" i="6"/>
  <c r="N4" i="6"/>
  <c r="N3" i="9" l="1"/>
  <c r="N9" i="6"/>
  <c r="N2" i="9" s="1"/>
  <c r="M16" i="6"/>
  <c r="M3" i="9" s="1"/>
  <c r="M4" i="6"/>
  <c r="M9" i="6" l="1"/>
  <c r="M2" i="9" s="1"/>
  <c r="J18" i="6" l="1"/>
  <c r="J17" i="9" s="1"/>
  <c r="K43" i="1" l="1"/>
  <c r="K42" i="1" s="1"/>
  <c r="K61" i="1"/>
  <c r="K60" i="1" s="1"/>
  <c r="K25" i="1"/>
  <c r="K24" i="1" s="1"/>
  <c r="K37" i="12"/>
  <c r="K38" i="12"/>
  <c r="K39" i="12"/>
  <c r="K40" i="12" l="1"/>
  <c r="J12" i="5" s="1"/>
  <c r="K8" i="1"/>
  <c r="I7" i="9" l="1"/>
  <c r="I12" i="6"/>
  <c r="I2" i="6"/>
  <c r="I18" i="6" l="1"/>
  <c r="I17" i="9" s="1"/>
  <c r="I5" i="6"/>
  <c r="J33" i="3"/>
  <c r="J36" i="3"/>
  <c r="J39" i="3"/>
  <c r="J42" i="3"/>
  <c r="J45" i="3"/>
  <c r="J48" i="3"/>
  <c r="J51" i="3"/>
  <c r="J53" i="3"/>
  <c r="J54" i="3"/>
  <c r="J59" i="3"/>
  <c r="J60" i="3"/>
  <c r="J55" i="3" l="1"/>
  <c r="J61" i="3"/>
  <c r="I4" i="5" s="1"/>
  <c r="I13" i="4"/>
  <c r="I6" i="5" s="1"/>
  <c r="I8" i="4"/>
  <c r="I5" i="5" s="1"/>
  <c r="J62" i="3" l="1"/>
  <c r="J3" i="3"/>
  <c r="J6" i="3"/>
  <c r="J9" i="3"/>
  <c r="J12" i="3"/>
  <c r="J15" i="3"/>
  <c r="J18" i="3"/>
  <c r="J21" i="3"/>
  <c r="J27" i="3"/>
  <c r="J24" i="3"/>
  <c r="J37" i="12"/>
  <c r="J38" i="12"/>
  <c r="J39" i="12"/>
  <c r="N40" i="12"/>
  <c r="M12" i="5" s="1"/>
  <c r="J40" i="12" l="1"/>
  <c r="I12" i="5" s="1"/>
  <c r="J2" i="7" l="1"/>
  <c r="K2" i="7"/>
  <c r="L2" i="7"/>
  <c r="J17" i="7"/>
  <c r="K17" i="7"/>
  <c r="L17" i="7"/>
  <c r="J20" i="7"/>
  <c r="K20" i="7"/>
  <c r="L20" i="7"/>
  <c r="J24" i="7"/>
  <c r="J30" i="7" s="1"/>
  <c r="K24" i="7"/>
  <c r="L24" i="7"/>
  <c r="G22" i="14"/>
  <c r="G23" i="14" s="1"/>
  <c r="K30" i="7" l="1"/>
  <c r="L30" i="7"/>
  <c r="I6" i="6"/>
  <c r="I7" i="6" s="1"/>
  <c r="I15" i="6"/>
  <c r="K15" i="7"/>
  <c r="J13" i="6" s="1"/>
  <c r="L15" i="7"/>
  <c r="J15" i="7"/>
  <c r="K15" i="6" l="1"/>
  <c r="K6" i="6"/>
  <c r="K7" i="6" s="1"/>
  <c r="K13" i="6"/>
  <c r="K16" i="6" s="1"/>
  <c r="K3" i="6"/>
  <c r="K4" i="6" s="1"/>
  <c r="L32" i="7"/>
  <c r="J15" i="6"/>
  <c r="J16" i="6" s="1"/>
  <c r="J3" i="9" s="1"/>
  <c r="J6" i="6"/>
  <c r="J7" i="6" s="1"/>
  <c r="K32" i="7"/>
  <c r="J3" i="6"/>
  <c r="J4" i="6" s="1"/>
  <c r="J32" i="7"/>
  <c r="I13" i="6"/>
  <c r="I16" i="6" s="1"/>
  <c r="I3" i="9" s="1"/>
  <c r="I3" i="6"/>
  <c r="I4" i="6" s="1"/>
  <c r="I9" i="6" s="1"/>
  <c r="I2" i="9" s="1"/>
  <c r="W3" i="11"/>
  <c r="V3" i="11"/>
  <c r="U3" i="11"/>
  <c r="AD4" i="11"/>
  <c r="H64" i="8" s="1"/>
  <c r="AA4" i="11"/>
  <c r="E64" i="8" s="1"/>
  <c r="W7" i="11"/>
  <c r="V7" i="11"/>
  <c r="U7" i="11"/>
  <c r="O22" i="14"/>
  <c r="O23" i="14" s="1"/>
  <c r="W2" i="11" s="1"/>
  <c r="P28" i="14"/>
  <c r="P29" i="14" s="1"/>
  <c r="O30" i="14"/>
  <c r="O31" i="14" s="1"/>
  <c r="O32" i="14" s="1"/>
  <c r="O27" i="14"/>
  <c r="O28" i="14" s="1"/>
  <c r="O29" i="14" s="1"/>
  <c r="G30" i="14"/>
  <c r="G27" i="14"/>
  <c r="F18" i="14"/>
  <c r="M21" i="1" l="1"/>
  <c r="N39" i="1"/>
  <c r="N57" i="1"/>
  <c r="N5" i="1"/>
  <c r="N21" i="1"/>
  <c r="M20" i="1"/>
  <c r="M30" i="1" s="1"/>
  <c r="M31" i="1" s="1"/>
  <c r="M8" i="3" s="1"/>
  <c r="M10" i="3" s="1"/>
  <c r="M38" i="1"/>
  <c r="M56" i="1"/>
  <c r="M4" i="1"/>
  <c r="L21" i="1"/>
  <c r="AD8" i="11"/>
  <c r="H63" i="8" s="1"/>
  <c r="H62" i="8" s="1"/>
  <c r="H71" i="8" s="1"/>
  <c r="G31" i="14"/>
  <c r="N4" i="1"/>
  <c r="N3" i="1" s="1"/>
  <c r="N20" i="1"/>
  <c r="N56" i="1"/>
  <c r="N38" i="1"/>
  <c r="AE4" i="11"/>
  <c r="H50" i="8"/>
  <c r="H36" i="8"/>
  <c r="H7" i="8"/>
  <c r="AB4" i="11"/>
  <c r="F64" i="8" s="1"/>
  <c r="E7" i="8"/>
  <c r="E50" i="8"/>
  <c r="E36" i="8"/>
  <c r="G28" i="14"/>
  <c r="AA8" i="11"/>
  <c r="E63" i="8" s="1"/>
  <c r="E62" i="8" s="1"/>
  <c r="E71" i="8" s="1"/>
  <c r="L38" i="1"/>
  <c r="L4" i="1"/>
  <c r="L56" i="1"/>
  <c r="L20" i="1"/>
  <c r="U2" i="11"/>
  <c r="V2" i="11"/>
  <c r="J9" i="6"/>
  <c r="J2" i="9" s="1"/>
  <c r="J8" i="1"/>
  <c r="J25" i="1"/>
  <c r="J24" i="1" s="1"/>
  <c r="J43" i="1"/>
  <c r="J42" i="1" s="1"/>
  <c r="J61" i="1"/>
  <c r="J60" i="1" s="1"/>
  <c r="M39" i="1" l="1"/>
  <c r="M37" i="1" s="1"/>
  <c r="M57" i="1"/>
  <c r="M55" i="1" s="1"/>
  <c r="M5" i="1"/>
  <c r="M3" i="1" s="1"/>
  <c r="M19" i="1"/>
  <c r="AE8" i="11"/>
  <c r="G32" i="14"/>
  <c r="AF8" i="11" s="1"/>
  <c r="H35" i="8"/>
  <c r="H34" i="8" s="1"/>
  <c r="H6" i="8"/>
  <c r="H5" i="8" s="1"/>
  <c r="H49" i="8"/>
  <c r="H48" i="8" s="1"/>
  <c r="N48" i="1"/>
  <c r="N49" i="1" s="1"/>
  <c r="N14" i="3" s="1"/>
  <c r="N16" i="3" s="1"/>
  <c r="N37" i="1"/>
  <c r="N55" i="1"/>
  <c r="N66" i="1"/>
  <c r="N67" i="1" s="1"/>
  <c r="N20" i="3" s="1"/>
  <c r="N22" i="3" s="1"/>
  <c r="N19" i="1"/>
  <c r="N30" i="1"/>
  <c r="N31" i="1" s="1"/>
  <c r="N8" i="3" s="1"/>
  <c r="N10" i="3" s="1"/>
  <c r="N14" i="1"/>
  <c r="N32" i="3" s="1"/>
  <c r="N34" i="3" s="1"/>
  <c r="N13" i="1"/>
  <c r="E6" i="8"/>
  <c r="E5" i="8" s="1"/>
  <c r="E35" i="8"/>
  <c r="E34" i="8" s="1"/>
  <c r="E43" i="8" s="1"/>
  <c r="E49" i="8"/>
  <c r="E48" i="8" s="1"/>
  <c r="E57" i="8" s="1"/>
  <c r="AF4" i="11"/>
  <c r="AC4" i="11"/>
  <c r="G64" i="8" s="1"/>
  <c r="F36" i="8"/>
  <c r="F50" i="8"/>
  <c r="F7" i="8"/>
  <c r="G29" i="14"/>
  <c r="AC8" i="11" s="1"/>
  <c r="G63" i="8" s="1"/>
  <c r="AB8" i="11"/>
  <c r="F63" i="8" s="1"/>
  <c r="F62" i="8" s="1"/>
  <c r="F71" i="8" s="1"/>
  <c r="L39" i="1"/>
  <c r="L48" i="1" s="1"/>
  <c r="L49" i="1" s="1"/>
  <c r="L14" i="3" s="1"/>
  <c r="L16" i="3" s="1"/>
  <c r="L5" i="1"/>
  <c r="L3" i="1" s="1"/>
  <c r="L13" i="1" s="1"/>
  <c r="L57" i="1"/>
  <c r="L66" i="1" s="1"/>
  <c r="L67" i="1" s="1"/>
  <c r="L20" i="3" s="1"/>
  <c r="L22" i="3" s="1"/>
  <c r="L19" i="1"/>
  <c r="L30" i="1"/>
  <c r="L31" i="1" s="1"/>
  <c r="L8" i="3" s="1"/>
  <c r="L10" i="3" s="1"/>
  <c r="M48" i="1" l="1"/>
  <c r="M49" i="1" s="1"/>
  <c r="M14" i="3" s="1"/>
  <c r="M16" i="3" s="1"/>
  <c r="M33" i="1"/>
  <c r="M38" i="3" s="1"/>
  <c r="M40" i="3" s="1"/>
  <c r="M28" i="1"/>
  <c r="M5" i="3" s="1"/>
  <c r="M7" i="3" s="1"/>
  <c r="M32" i="1"/>
  <c r="M35" i="3" s="1"/>
  <c r="M37" i="3" s="1"/>
  <c r="M14" i="1"/>
  <c r="M32" i="3" s="1"/>
  <c r="M34" i="3" s="1"/>
  <c r="M13" i="1"/>
  <c r="M64" i="1"/>
  <c r="M17" i="3" s="1"/>
  <c r="M19" i="3" s="1"/>
  <c r="M68" i="1"/>
  <c r="M47" i="3" s="1"/>
  <c r="M49" i="3" s="1"/>
  <c r="M69" i="1"/>
  <c r="M50" i="3" s="1"/>
  <c r="M52" i="3" s="1"/>
  <c r="G62" i="8"/>
  <c r="G71" i="8" s="1"/>
  <c r="M46" i="1"/>
  <c r="M11" i="3" s="1"/>
  <c r="M13" i="3" s="1"/>
  <c r="M50" i="1"/>
  <c r="M41" i="3" s="1"/>
  <c r="M43" i="3" s="1"/>
  <c r="M51" i="1"/>
  <c r="M44" i="3" s="1"/>
  <c r="M46" i="3" s="1"/>
  <c r="M66" i="1"/>
  <c r="M67" i="1" s="1"/>
  <c r="M20" i="3" s="1"/>
  <c r="M22" i="3" s="1"/>
  <c r="L55" i="1"/>
  <c r="L68" i="1" s="1"/>
  <c r="L47" i="3" s="1"/>
  <c r="L49" i="3" s="1"/>
  <c r="N64" i="1"/>
  <c r="N17" i="3" s="1"/>
  <c r="N19" i="3" s="1"/>
  <c r="N69" i="1"/>
  <c r="N50" i="3" s="1"/>
  <c r="N52" i="3" s="1"/>
  <c r="N68" i="1"/>
  <c r="N47" i="3" s="1"/>
  <c r="N49" i="3" s="1"/>
  <c r="N2" i="3"/>
  <c r="N4" i="3" s="1"/>
  <c r="N50" i="1"/>
  <c r="N41" i="3" s="1"/>
  <c r="N43" i="3" s="1"/>
  <c r="N51" i="1"/>
  <c r="N44" i="3" s="1"/>
  <c r="N46" i="3" s="1"/>
  <c r="N46" i="1"/>
  <c r="N11" i="3" s="1"/>
  <c r="N13" i="3" s="1"/>
  <c r="N28" i="1"/>
  <c r="N5" i="3" s="1"/>
  <c r="N7" i="3" s="1"/>
  <c r="N32" i="1"/>
  <c r="N35" i="3" s="1"/>
  <c r="N37" i="3" s="1"/>
  <c r="N33" i="1"/>
  <c r="N38" i="3" s="1"/>
  <c r="N40" i="3" s="1"/>
  <c r="G49" i="8"/>
  <c r="G35" i="8"/>
  <c r="G6" i="8"/>
  <c r="F6" i="8"/>
  <c r="F5" i="8" s="1"/>
  <c r="F49" i="8"/>
  <c r="F48" i="8" s="1"/>
  <c r="F57" i="8" s="1"/>
  <c r="F35" i="8"/>
  <c r="F34" i="8" s="1"/>
  <c r="F43" i="8" s="1"/>
  <c r="G50" i="8"/>
  <c r="G36" i="8"/>
  <c r="G7" i="8"/>
  <c r="L37" i="1"/>
  <c r="L51" i="1" s="1"/>
  <c r="L44" i="3" s="1"/>
  <c r="L46" i="3" s="1"/>
  <c r="L2" i="3"/>
  <c r="L4" i="3" s="1"/>
  <c r="L14" i="1"/>
  <c r="L32" i="3" s="1"/>
  <c r="L34" i="3" s="1"/>
  <c r="L28" i="1"/>
  <c r="L5" i="3" s="1"/>
  <c r="L7" i="3" s="1"/>
  <c r="L33" i="1"/>
  <c r="L38" i="3" s="1"/>
  <c r="L40" i="3" s="1"/>
  <c r="L32" i="1"/>
  <c r="L35" i="3" s="1"/>
  <c r="L37" i="3" s="1"/>
  <c r="I37" i="12"/>
  <c r="I38" i="12"/>
  <c r="I39" i="12"/>
  <c r="L64" i="1" l="1"/>
  <c r="L17" i="3" s="1"/>
  <c r="L19" i="3" s="1"/>
  <c r="L69" i="1"/>
  <c r="L50" i="3" s="1"/>
  <c r="L52" i="3" s="1"/>
  <c r="L46" i="1"/>
  <c r="L11" i="3" s="1"/>
  <c r="L13" i="3" s="1"/>
  <c r="M56" i="3"/>
  <c r="L3" i="5" s="1"/>
  <c r="M2" i="3"/>
  <c r="M4" i="3" s="1"/>
  <c r="N56" i="3"/>
  <c r="M3" i="5" s="1"/>
  <c r="L50" i="1"/>
  <c r="L41" i="3" s="1"/>
  <c r="L43" i="3" s="1"/>
  <c r="L56" i="3" s="1"/>
  <c r="K3" i="5" s="1"/>
  <c r="G5" i="8"/>
  <c r="G48" i="8"/>
  <c r="G57" i="8" s="1"/>
  <c r="G34" i="8"/>
  <c r="G43" i="8" s="1"/>
  <c r="I40" i="12"/>
  <c r="H17" i="7" l="1"/>
  <c r="I17" i="7"/>
  <c r="H20" i="7"/>
  <c r="I20" i="7"/>
  <c r="H24" i="7"/>
  <c r="I24" i="7"/>
  <c r="H2" i="7"/>
  <c r="I2" i="7"/>
  <c r="H30" i="7" l="1"/>
  <c r="H15" i="7"/>
  <c r="H32" i="7" s="1"/>
  <c r="I30" i="7"/>
  <c r="I15" i="7"/>
  <c r="I32" i="7" l="1"/>
  <c r="G6" i="6"/>
  <c r="H6" i="6"/>
  <c r="G3" i="6"/>
  <c r="H3" i="6"/>
  <c r="G9" i="5"/>
  <c r="H3" i="3"/>
  <c r="I3" i="3"/>
  <c r="H6" i="3"/>
  <c r="I6" i="3"/>
  <c r="H9" i="3"/>
  <c r="I9" i="3"/>
  <c r="H12" i="3"/>
  <c r="I12" i="3"/>
  <c r="H15" i="3"/>
  <c r="I15" i="3"/>
  <c r="H18" i="3"/>
  <c r="I18" i="3"/>
  <c r="H21" i="3"/>
  <c r="I21" i="3"/>
  <c r="H27" i="3"/>
  <c r="I27" i="3"/>
  <c r="H24" i="3"/>
  <c r="I24" i="3"/>
  <c r="H33" i="3"/>
  <c r="I33" i="3"/>
  <c r="H36" i="3"/>
  <c r="I36" i="3"/>
  <c r="H39" i="3"/>
  <c r="I39" i="3"/>
  <c r="H42" i="3"/>
  <c r="I42" i="3"/>
  <c r="H45" i="3"/>
  <c r="I45" i="3"/>
  <c r="H48" i="3"/>
  <c r="I48" i="3"/>
  <c r="H51" i="3"/>
  <c r="I51" i="3"/>
  <c r="H53" i="3"/>
  <c r="I53" i="3"/>
  <c r="H54" i="3"/>
  <c r="I54" i="3"/>
  <c r="H59" i="3"/>
  <c r="I59" i="3"/>
  <c r="H60" i="3"/>
  <c r="I60" i="3"/>
  <c r="F9" i="5"/>
  <c r="E9" i="5"/>
  <c r="D9" i="5"/>
  <c r="F8" i="1"/>
  <c r="G8" i="1"/>
  <c r="H8" i="1"/>
  <c r="I8" i="1"/>
  <c r="E8" i="1"/>
  <c r="I55" i="3" l="1"/>
  <c r="H61" i="3"/>
  <c r="H62" i="3" s="1"/>
  <c r="H55" i="3"/>
  <c r="I61" i="3"/>
  <c r="I62" i="3" s="1"/>
  <c r="D8" i="1" l="1"/>
  <c r="D37" i="12" l="1"/>
  <c r="E37" i="12"/>
  <c r="F37" i="12"/>
  <c r="G37" i="12"/>
  <c r="H37" i="12"/>
  <c r="H38" i="12" l="1"/>
  <c r="H39" i="12"/>
  <c r="H40" i="12" l="1"/>
  <c r="C7" i="9"/>
  <c r="D7" i="9"/>
  <c r="E7" i="9"/>
  <c r="F7" i="9"/>
  <c r="G7" i="9"/>
  <c r="H7" i="9"/>
  <c r="G13" i="6" l="1"/>
  <c r="H13" i="6"/>
  <c r="G15" i="6"/>
  <c r="H15" i="6"/>
  <c r="H4" i="6"/>
  <c r="G4" i="6"/>
  <c r="G7" i="6"/>
  <c r="H7" i="6"/>
  <c r="F17" i="14"/>
  <c r="G18" i="6"/>
  <c r="G17" i="9" s="1"/>
  <c r="H18" i="6"/>
  <c r="H17" i="9" s="1"/>
  <c r="H9" i="6" l="1"/>
  <c r="H2" i="9" s="1"/>
  <c r="H16" i="6"/>
  <c r="H3" i="9" s="1"/>
  <c r="G16" i="6"/>
  <c r="G3" i="9" s="1"/>
  <c r="G9" i="6"/>
  <c r="G2" i="9" s="1"/>
  <c r="G13" i="4" l="1"/>
  <c r="H13" i="4"/>
  <c r="D8" i="4"/>
  <c r="E8" i="4"/>
  <c r="F8" i="4"/>
  <c r="G8" i="4"/>
  <c r="H8" i="4"/>
  <c r="D13" i="4"/>
  <c r="E13" i="4"/>
  <c r="F13" i="4"/>
  <c r="E3" i="3"/>
  <c r="F3" i="3"/>
  <c r="G3" i="3"/>
  <c r="E6" i="3"/>
  <c r="F6" i="3"/>
  <c r="G6" i="3"/>
  <c r="E9" i="3"/>
  <c r="F9" i="3"/>
  <c r="G9" i="3"/>
  <c r="E12" i="3"/>
  <c r="F12" i="3"/>
  <c r="G12" i="3"/>
  <c r="E15" i="3"/>
  <c r="F15" i="3"/>
  <c r="G15" i="3"/>
  <c r="E18" i="3"/>
  <c r="F18" i="3"/>
  <c r="G18" i="3"/>
  <c r="E21" i="3"/>
  <c r="F21" i="3"/>
  <c r="G21" i="3"/>
  <c r="E27" i="3"/>
  <c r="F27" i="3"/>
  <c r="G27" i="3"/>
  <c r="E24" i="3"/>
  <c r="F24" i="3"/>
  <c r="G24" i="3"/>
  <c r="E33" i="3"/>
  <c r="F33" i="3"/>
  <c r="G33" i="3"/>
  <c r="E36" i="3"/>
  <c r="F36" i="3"/>
  <c r="G36" i="3"/>
  <c r="E39" i="3"/>
  <c r="F39" i="3"/>
  <c r="G39" i="3"/>
  <c r="E42" i="3"/>
  <c r="F42" i="3"/>
  <c r="G42" i="3"/>
  <c r="E45" i="3"/>
  <c r="F45" i="3"/>
  <c r="G45" i="3"/>
  <c r="E48" i="3"/>
  <c r="F48" i="3"/>
  <c r="G48" i="3"/>
  <c r="E51" i="3"/>
  <c r="F51" i="3"/>
  <c r="G51" i="3"/>
  <c r="E53" i="3"/>
  <c r="F53" i="3"/>
  <c r="G53" i="3"/>
  <c r="E54" i="3"/>
  <c r="F54" i="3"/>
  <c r="G54" i="3"/>
  <c r="E59" i="3"/>
  <c r="F59" i="3"/>
  <c r="G59" i="3"/>
  <c r="E60" i="3"/>
  <c r="F60" i="3"/>
  <c r="G60" i="3"/>
  <c r="F55" i="3" l="1"/>
  <c r="F61" i="3"/>
  <c r="F62" i="3" s="1"/>
  <c r="G61" i="3"/>
  <c r="G62" i="3" s="1"/>
  <c r="E55" i="3"/>
  <c r="E61" i="3"/>
  <c r="E62" i="3" s="1"/>
  <c r="G55" i="3"/>
  <c r="K9" i="6" l="1"/>
  <c r="K2" i="9" s="1"/>
  <c r="K3" i="9"/>
  <c r="H6" i="5"/>
  <c r="G6" i="5"/>
  <c r="F6" i="5"/>
  <c r="E6" i="5"/>
  <c r="D6" i="5"/>
  <c r="H5" i="5"/>
  <c r="G5" i="5"/>
  <c r="F5" i="5"/>
  <c r="E5" i="5"/>
  <c r="D5" i="5"/>
  <c r="H4" i="5"/>
  <c r="G4" i="5"/>
  <c r="F4" i="5"/>
  <c r="E4" i="5"/>
  <c r="D4" i="5"/>
  <c r="D59" i="3"/>
  <c r="D60" i="3"/>
  <c r="D24" i="3"/>
  <c r="D27" i="3"/>
  <c r="D21" i="3"/>
  <c r="D15" i="3"/>
  <c r="D9" i="3"/>
  <c r="D38" i="12"/>
  <c r="E38" i="12"/>
  <c r="F38" i="12"/>
  <c r="G38" i="12"/>
  <c r="D39" i="12"/>
  <c r="E39" i="12"/>
  <c r="F39" i="12"/>
  <c r="G39" i="12"/>
  <c r="D40" i="12" l="1"/>
  <c r="G40" i="12"/>
  <c r="F40" i="12"/>
  <c r="E40" i="12"/>
  <c r="D61" i="3"/>
  <c r="D62" i="3" s="1"/>
  <c r="I25" i="1"/>
  <c r="I24" i="1" s="1"/>
  <c r="D61" i="1"/>
  <c r="E61" i="1"/>
  <c r="F61" i="1"/>
  <c r="G61" i="1"/>
  <c r="H61" i="1"/>
  <c r="D25" i="1"/>
  <c r="D24" i="1" s="1"/>
  <c r="E25" i="1"/>
  <c r="E24" i="1" s="1"/>
  <c r="F25" i="1"/>
  <c r="F24" i="1" s="1"/>
  <c r="G25" i="1"/>
  <c r="G24" i="1" s="1"/>
  <c r="H25" i="1"/>
  <c r="H24" i="1" s="1"/>
  <c r="C4" i="5" l="1"/>
  <c r="D42" i="1"/>
  <c r="F43" i="1"/>
  <c r="F42" i="1" s="1"/>
  <c r="G43" i="1"/>
  <c r="G42" i="1" s="1"/>
  <c r="H43" i="1"/>
  <c r="H42" i="1" s="1"/>
  <c r="I43" i="1"/>
  <c r="I42" i="1" s="1"/>
  <c r="E43" i="1"/>
  <c r="E42" i="1" s="1"/>
  <c r="D60" i="1"/>
  <c r="E60" i="1"/>
  <c r="F60" i="1"/>
  <c r="G60" i="1"/>
  <c r="H60" i="1"/>
  <c r="I61" i="1"/>
  <c r="I60" i="1" s="1"/>
  <c r="D83" i="1" l="1"/>
  <c r="D26" i="3" s="1"/>
  <c r="D28" i="3" s="1"/>
  <c r="E83" i="1"/>
  <c r="E26" i="3" s="1"/>
  <c r="E28" i="3" s="1"/>
  <c r="F83" i="1"/>
  <c r="F26" i="3" s="1"/>
  <c r="F28" i="3" s="1"/>
  <c r="G83" i="1"/>
  <c r="G26" i="3" s="1"/>
  <c r="G28" i="3" s="1"/>
  <c r="H83" i="1"/>
  <c r="H26" i="3" s="1"/>
  <c r="H28" i="3" s="1"/>
  <c r="C8" i="4"/>
  <c r="C5" i="5" s="1"/>
  <c r="E12" i="5"/>
  <c r="F12" i="5"/>
  <c r="G12" i="5"/>
  <c r="H12" i="5"/>
  <c r="D12" i="5"/>
  <c r="D18" i="6"/>
  <c r="D17" i="9" s="1"/>
  <c r="E18" i="6"/>
  <c r="E17" i="9" s="1"/>
  <c r="F18" i="6"/>
  <c r="F17" i="9" s="1"/>
  <c r="E17" i="7"/>
  <c r="F17" i="7"/>
  <c r="G17" i="7"/>
  <c r="E20" i="7"/>
  <c r="F20" i="7"/>
  <c r="G20" i="7"/>
  <c r="E24" i="7"/>
  <c r="F24" i="7"/>
  <c r="G24" i="7"/>
  <c r="E2" i="7"/>
  <c r="F2" i="7"/>
  <c r="F15" i="7" s="1"/>
  <c r="E13" i="6" s="1"/>
  <c r="G2" i="7"/>
  <c r="G30" i="7" l="1"/>
  <c r="F6" i="6" s="1"/>
  <c r="F7" i="6" s="1"/>
  <c r="E3" i="6"/>
  <c r="E4" i="6" s="1"/>
  <c r="G15" i="7"/>
  <c r="F30" i="7"/>
  <c r="E30" i="7"/>
  <c r="E15" i="7"/>
  <c r="F15" i="6" l="1"/>
  <c r="D3" i="6"/>
  <c r="D4" i="6" s="1"/>
  <c r="D13" i="6"/>
  <c r="E32" i="7"/>
  <c r="D6" i="6"/>
  <c r="D7" i="6" s="1"/>
  <c r="D15" i="6"/>
  <c r="F32" i="7"/>
  <c r="E6" i="6"/>
  <c r="E7" i="6" s="1"/>
  <c r="E9" i="6" s="1"/>
  <c r="E2" i="9" s="1"/>
  <c r="E15" i="6"/>
  <c r="F3" i="6"/>
  <c r="F4" i="6" s="1"/>
  <c r="F9" i="6" s="1"/>
  <c r="F2" i="9" s="1"/>
  <c r="F13" i="6"/>
  <c r="F16" i="6" s="1"/>
  <c r="F3" i="9" s="1"/>
  <c r="G32" i="7"/>
  <c r="E16" i="6" l="1"/>
  <c r="E3" i="9" s="1"/>
  <c r="D9" i="6"/>
  <c r="D2" i="9" s="1"/>
  <c r="D16" i="6"/>
  <c r="D3" i="9" s="1"/>
  <c r="C82" i="8" l="1"/>
  <c r="C46" i="8"/>
  <c r="C18" i="8"/>
  <c r="C74" i="8"/>
  <c r="C32" i="8"/>
  <c r="C3" i="8"/>
  <c r="E73" i="1" l="1"/>
  <c r="F73" i="1" s="1"/>
  <c r="G73" i="1" s="1"/>
  <c r="E74" i="1"/>
  <c r="I81" i="1"/>
  <c r="J81" i="1" s="1"/>
  <c r="K81" i="1" s="1"/>
  <c r="L81" i="1" s="1"/>
  <c r="M81" i="1" s="1"/>
  <c r="N81" i="1" s="1"/>
  <c r="O81" i="1" s="1"/>
  <c r="I80" i="1"/>
  <c r="J80" i="1" s="1"/>
  <c r="K80" i="1" s="1"/>
  <c r="L80" i="1" s="1"/>
  <c r="D84" i="8"/>
  <c r="C54" i="8"/>
  <c r="C53" i="8" s="1"/>
  <c r="C39" i="8"/>
  <c r="L83" i="1" l="1"/>
  <c r="L26" i="3" s="1"/>
  <c r="L28" i="3" s="1"/>
  <c r="M80" i="1"/>
  <c r="E84" i="8"/>
  <c r="F84" i="8" s="1"/>
  <c r="G84" i="8" s="1"/>
  <c r="K83" i="1"/>
  <c r="K26" i="3" s="1"/>
  <c r="K28" i="3" s="1"/>
  <c r="J83" i="1"/>
  <c r="J26" i="3" s="1"/>
  <c r="J28" i="3" s="1"/>
  <c r="I83" i="1"/>
  <c r="I26" i="3" s="1"/>
  <c r="I28" i="3" s="1"/>
  <c r="E76" i="1"/>
  <c r="E23" i="3" s="1"/>
  <c r="E25" i="3" s="1"/>
  <c r="F74" i="1"/>
  <c r="H73" i="1"/>
  <c r="C26" i="8"/>
  <c r="C25" i="8" s="1"/>
  <c r="N80" i="1" l="1"/>
  <c r="M83" i="1"/>
  <c r="M26" i="3" s="1"/>
  <c r="M28" i="3" s="1"/>
  <c r="F76" i="1"/>
  <c r="F23" i="3" s="1"/>
  <c r="F25" i="3" s="1"/>
  <c r="G74" i="1"/>
  <c r="I73" i="1"/>
  <c r="J73" i="1" s="1"/>
  <c r="G18" i="14"/>
  <c r="G15" i="14"/>
  <c r="G12" i="14"/>
  <c r="G9" i="14"/>
  <c r="G6" i="14"/>
  <c r="G3" i="14"/>
  <c r="N83" i="1" l="1"/>
  <c r="N26" i="3" s="1"/>
  <c r="N28" i="3" s="1"/>
  <c r="O80" i="1"/>
  <c r="O83" i="1" s="1"/>
  <c r="O26" i="3" s="1"/>
  <c r="O28" i="3" s="1"/>
  <c r="K73" i="1"/>
  <c r="L73" i="1" s="1"/>
  <c r="H74" i="1"/>
  <c r="G76" i="1"/>
  <c r="G23" i="3" s="1"/>
  <c r="G25" i="3" s="1"/>
  <c r="O25" i="14"/>
  <c r="F16" i="14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2" i="14"/>
  <c r="I7" i="11"/>
  <c r="G19" i="14"/>
  <c r="G20" i="14" s="1"/>
  <c r="T7" i="11" s="1"/>
  <c r="G16" i="14"/>
  <c r="G17" i="14" s="1"/>
  <c r="Q7" i="11" s="1"/>
  <c r="G13" i="14"/>
  <c r="G14" i="14" s="1"/>
  <c r="N7" i="11" s="1"/>
  <c r="G10" i="14"/>
  <c r="G11" i="14" s="1"/>
  <c r="K7" i="11" s="1"/>
  <c r="G7" i="14"/>
  <c r="G8" i="14" s="1"/>
  <c r="H7" i="11" s="1"/>
  <c r="F7" i="11"/>
  <c r="G4" i="14"/>
  <c r="G5" i="14" s="1"/>
  <c r="E7" i="11" s="1"/>
  <c r="B7" i="11"/>
  <c r="C3" i="11"/>
  <c r="B3" i="11"/>
  <c r="T3" i="11"/>
  <c r="S3" i="11"/>
  <c r="R3" i="11"/>
  <c r="Q3" i="11"/>
  <c r="P3" i="11"/>
  <c r="O3" i="11"/>
  <c r="N3" i="11"/>
  <c r="M3" i="11"/>
  <c r="L3" i="11"/>
  <c r="K3" i="11"/>
  <c r="J3" i="11"/>
  <c r="I3" i="11"/>
  <c r="H3" i="11"/>
  <c r="G3" i="11"/>
  <c r="F3" i="11"/>
  <c r="E3" i="11"/>
  <c r="D3" i="11"/>
  <c r="O18" i="14"/>
  <c r="O19" i="14" s="1"/>
  <c r="O20" i="14" s="1"/>
  <c r="T2" i="11" s="1"/>
  <c r="O15" i="14"/>
  <c r="O16" i="14" s="1"/>
  <c r="O17" i="14" s="1"/>
  <c r="Q2" i="11" s="1"/>
  <c r="O12" i="14"/>
  <c r="L2" i="11" s="1"/>
  <c r="O9" i="14"/>
  <c r="O10" i="14" s="1"/>
  <c r="O11" i="14" s="1"/>
  <c r="K2" i="11" s="1"/>
  <c r="O6" i="14"/>
  <c r="O7" i="14" s="1"/>
  <c r="O8" i="14" s="1"/>
  <c r="H2" i="11" s="1"/>
  <c r="O3" i="14"/>
  <c r="O4" i="14" s="1"/>
  <c r="O5" i="14" s="1"/>
  <c r="E2" i="11" s="1"/>
  <c r="B2" i="11"/>
  <c r="O26" i="14" l="1"/>
  <c r="Z2" i="11" s="1"/>
  <c r="D64" i="8" s="1"/>
  <c r="Y2" i="11"/>
  <c r="M73" i="1"/>
  <c r="D14" i="8"/>
  <c r="E14" i="8" s="1"/>
  <c r="F14" i="8" s="1"/>
  <c r="G14" i="8" s="1"/>
  <c r="H14" i="8" s="1"/>
  <c r="D12" i="8"/>
  <c r="E12" i="8" s="1"/>
  <c r="F12" i="8" s="1"/>
  <c r="G12" i="8" s="1"/>
  <c r="H12" i="8" s="1"/>
  <c r="D13" i="8"/>
  <c r="E13" i="8" s="1"/>
  <c r="F13" i="8" s="1"/>
  <c r="G13" i="8" s="1"/>
  <c r="H13" i="8" s="1"/>
  <c r="D11" i="8"/>
  <c r="C78" i="8"/>
  <c r="Z12" i="11"/>
  <c r="AA12" i="11" s="1"/>
  <c r="AB12" i="11" s="1"/>
  <c r="G25" i="14"/>
  <c r="Y7" i="11" s="1"/>
  <c r="I2" i="11"/>
  <c r="K57" i="1"/>
  <c r="K39" i="1"/>
  <c r="K5" i="1"/>
  <c r="H4" i="1"/>
  <c r="H20" i="1"/>
  <c r="H56" i="1"/>
  <c r="H38" i="1"/>
  <c r="E21" i="1"/>
  <c r="F21" i="1"/>
  <c r="K38" i="1"/>
  <c r="K20" i="1"/>
  <c r="K56" i="1"/>
  <c r="K4" i="1"/>
  <c r="G21" i="1"/>
  <c r="K21" i="1"/>
  <c r="E20" i="1"/>
  <c r="E38" i="1"/>
  <c r="E56" i="1"/>
  <c r="E4" i="1"/>
  <c r="H5" i="1"/>
  <c r="H57" i="1"/>
  <c r="H39" i="1"/>
  <c r="D21" i="1"/>
  <c r="H21" i="1"/>
  <c r="I21" i="1"/>
  <c r="J21" i="1"/>
  <c r="I74" i="1"/>
  <c r="H76" i="1"/>
  <c r="H23" i="3" s="1"/>
  <c r="H25" i="3" s="1"/>
  <c r="M7" i="11"/>
  <c r="J7" i="11"/>
  <c r="R7" i="11"/>
  <c r="D2" i="11"/>
  <c r="P2" i="11"/>
  <c r="F2" i="11"/>
  <c r="J2" i="11"/>
  <c r="R2" i="11"/>
  <c r="C7" i="11"/>
  <c r="G7" i="11"/>
  <c r="O7" i="11"/>
  <c r="S7" i="11"/>
  <c r="C2" i="11"/>
  <c r="G2" i="11"/>
  <c r="O2" i="11"/>
  <c r="S2" i="11"/>
  <c r="D7" i="11"/>
  <c r="L7" i="11"/>
  <c r="P7" i="11"/>
  <c r="O13" i="14"/>
  <c r="H19" i="1" l="1"/>
  <c r="H32" i="1" s="1"/>
  <c r="C49" i="8"/>
  <c r="C35" i="8"/>
  <c r="C21" i="8"/>
  <c r="C6" i="8"/>
  <c r="C36" i="8"/>
  <c r="C50" i="8"/>
  <c r="C7" i="8"/>
  <c r="D50" i="8"/>
  <c r="D7" i="8"/>
  <c r="D36" i="8"/>
  <c r="K66" i="1"/>
  <c r="K67" i="1" s="1"/>
  <c r="K20" i="3" s="1"/>
  <c r="K22" i="3" s="1"/>
  <c r="K19" i="1"/>
  <c r="K32" i="1" s="1"/>
  <c r="K35" i="3" s="1"/>
  <c r="K37" i="3" s="1"/>
  <c r="H55" i="1"/>
  <c r="H68" i="1" s="1"/>
  <c r="H47" i="3" s="1"/>
  <c r="H49" i="3" s="1"/>
  <c r="K48" i="1"/>
  <c r="K49" i="1" s="1"/>
  <c r="K14" i="3" s="1"/>
  <c r="K16" i="3" s="1"/>
  <c r="N73" i="1"/>
  <c r="O73" i="1" s="1"/>
  <c r="D10" i="8"/>
  <c r="E11" i="8"/>
  <c r="AC12" i="11"/>
  <c r="H54" i="8"/>
  <c r="H53" i="8" s="1"/>
  <c r="H57" i="8" s="1"/>
  <c r="H39" i="8"/>
  <c r="H43" i="8" s="1"/>
  <c r="G76" i="8"/>
  <c r="G77" i="8"/>
  <c r="H76" i="8"/>
  <c r="H77" i="8"/>
  <c r="E76" i="8"/>
  <c r="E77" i="8"/>
  <c r="D76" i="8"/>
  <c r="F76" i="8"/>
  <c r="F77" i="8"/>
  <c r="D77" i="8"/>
  <c r="G26" i="14"/>
  <c r="Z7" i="11" s="1"/>
  <c r="D63" i="8" s="1"/>
  <c r="D62" i="8" s="1"/>
  <c r="D71" i="8" s="1"/>
  <c r="H37" i="1"/>
  <c r="H46" i="1" s="1"/>
  <c r="H11" i="3" s="1"/>
  <c r="H13" i="3" s="1"/>
  <c r="H3" i="1"/>
  <c r="H13" i="1" s="1"/>
  <c r="E19" i="1"/>
  <c r="E32" i="1" s="1"/>
  <c r="E35" i="3" s="1"/>
  <c r="E37" i="3" s="1"/>
  <c r="J4" i="1"/>
  <c r="J56" i="1"/>
  <c r="J38" i="1"/>
  <c r="J20" i="1"/>
  <c r="J30" i="1" s="1"/>
  <c r="J31" i="1" s="1"/>
  <c r="J8" i="3" s="1"/>
  <c r="J10" i="3" s="1"/>
  <c r="J39" i="1"/>
  <c r="J5" i="1"/>
  <c r="J57" i="1"/>
  <c r="H30" i="1"/>
  <c r="H31" i="1" s="1"/>
  <c r="H8" i="3" s="1"/>
  <c r="H10" i="3" s="1"/>
  <c r="K55" i="1"/>
  <c r="G39" i="1"/>
  <c r="G57" i="1"/>
  <c r="G5" i="1"/>
  <c r="D20" i="1"/>
  <c r="D30" i="1" s="1"/>
  <c r="D38" i="1"/>
  <c r="D56" i="1"/>
  <c r="D4" i="1"/>
  <c r="K3" i="1"/>
  <c r="I5" i="1"/>
  <c r="I57" i="1"/>
  <c r="I39" i="1"/>
  <c r="H28" i="1"/>
  <c r="H5" i="3" s="1"/>
  <c r="H7" i="3" s="1"/>
  <c r="H35" i="3"/>
  <c r="H37" i="3" s="1"/>
  <c r="H33" i="1"/>
  <c r="H38" i="3" s="1"/>
  <c r="H40" i="3" s="1"/>
  <c r="H48" i="1"/>
  <c r="H49" i="1" s="1"/>
  <c r="H14" i="3" s="1"/>
  <c r="H16" i="3" s="1"/>
  <c r="G20" i="1"/>
  <c r="G30" i="1" s="1"/>
  <c r="G31" i="1" s="1"/>
  <c r="G8" i="3" s="1"/>
  <c r="G10" i="3" s="1"/>
  <c r="G38" i="1"/>
  <c r="G4" i="1"/>
  <c r="G56" i="1"/>
  <c r="F39" i="1"/>
  <c r="F57" i="1"/>
  <c r="F5" i="1"/>
  <c r="F20" i="1"/>
  <c r="F30" i="1" s="1"/>
  <c r="F31" i="1" s="1"/>
  <c r="F8" i="3" s="1"/>
  <c r="F10" i="3" s="1"/>
  <c r="F38" i="1"/>
  <c r="F4" i="1"/>
  <c r="F56" i="1"/>
  <c r="I20" i="1"/>
  <c r="I30" i="1" s="1"/>
  <c r="I31" i="1" s="1"/>
  <c r="I8" i="3" s="1"/>
  <c r="I10" i="3" s="1"/>
  <c r="I4" i="1"/>
  <c r="I38" i="1"/>
  <c r="I56" i="1"/>
  <c r="H69" i="1"/>
  <c r="H50" i="3" s="1"/>
  <c r="H52" i="3" s="1"/>
  <c r="H64" i="1"/>
  <c r="H17" i="3" s="1"/>
  <c r="H19" i="3" s="1"/>
  <c r="E30" i="1"/>
  <c r="E31" i="1" s="1"/>
  <c r="E8" i="3" s="1"/>
  <c r="E10" i="3" s="1"/>
  <c r="K30" i="1"/>
  <c r="K31" i="1" s="1"/>
  <c r="K8" i="3" s="1"/>
  <c r="K10" i="3" s="1"/>
  <c r="H66" i="1"/>
  <c r="H67" i="1" s="1"/>
  <c r="H20" i="3" s="1"/>
  <c r="H22" i="3" s="1"/>
  <c r="K37" i="1"/>
  <c r="I76" i="1"/>
  <c r="I23" i="3" s="1"/>
  <c r="I25" i="3" s="1"/>
  <c r="J74" i="1"/>
  <c r="O14" i="14"/>
  <c r="N2" i="11" s="1"/>
  <c r="M2" i="11"/>
  <c r="F48" i="1" l="1"/>
  <c r="F49" i="1" s="1"/>
  <c r="F14" i="3" s="1"/>
  <c r="F16" i="3" s="1"/>
  <c r="I48" i="1"/>
  <c r="I49" i="1" s="1"/>
  <c r="I14" i="3" s="1"/>
  <c r="I16" i="3" s="1"/>
  <c r="J19" i="1"/>
  <c r="K28" i="1"/>
  <c r="K5" i="3" s="1"/>
  <c r="K7" i="3" s="1"/>
  <c r="K33" i="1"/>
  <c r="K38" i="3" s="1"/>
  <c r="K40" i="3" s="1"/>
  <c r="H50" i="1"/>
  <c r="H41" i="3" s="1"/>
  <c r="H43" i="3" s="1"/>
  <c r="H51" i="1"/>
  <c r="H44" i="3" s="1"/>
  <c r="H46" i="3" s="1"/>
  <c r="D49" i="8"/>
  <c r="D48" i="8" s="1"/>
  <c r="D57" i="8" s="1"/>
  <c r="D35" i="8"/>
  <c r="D34" i="8" s="1"/>
  <c r="D43" i="8" s="1"/>
  <c r="D6" i="8"/>
  <c r="E79" i="8"/>
  <c r="G79" i="8"/>
  <c r="H14" i="1"/>
  <c r="H32" i="3" s="1"/>
  <c r="H34" i="3" s="1"/>
  <c r="H2" i="3"/>
  <c r="H4" i="3" s="1"/>
  <c r="H29" i="3" s="1"/>
  <c r="G2" i="5" s="1"/>
  <c r="E33" i="1"/>
  <c r="E38" i="3" s="1"/>
  <c r="E40" i="3" s="1"/>
  <c r="E28" i="1"/>
  <c r="E5" i="3" s="1"/>
  <c r="E7" i="3" s="1"/>
  <c r="AD12" i="11"/>
  <c r="AE12" i="11" s="1"/>
  <c r="AF12" i="11" s="1"/>
  <c r="G86" i="8"/>
  <c r="F79" i="8"/>
  <c r="F11" i="8"/>
  <c r="E10" i="8"/>
  <c r="E15" i="8" s="1"/>
  <c r="D79" i="8"/>
  <c r="H79" i="8"/>
  <c r="C5" i="8"/>
  <c r="C15" i="8" s="1"/>
  <c r="J55" i="1"/>
  <c r="J69" i="1" s="1"/>
  <c r="J50" i="3" s="1"/>
  <c r="J52" i="3" s="1"/>
  <c r="F66" i="1"/>
  <c r="F67" i="1" s="1"/>
  <c r="F20" i="3" s="1"/>
  <c r="F22" i="3" s="1"/>
  <c r="G48" i="1"/>
  <c r="G49" i="1" s="1"/>
  <c r="G14" i="3" s="1"/>
  <c r="G16" i="3" s="1"/>
  <c r="G66" i="1"/>
  <c r="G67" i="1" s="1"/>
  <c r="G20" i="3" s="1"/>
  <c r="G22" i="3" s="1"/>
  <c r="J48" i="1"/>
  <c r="J49" i="1" s="1"/>
  <c r="J14" i="3" s="1"/>
  <c r="J16" i="3" s="1"/>
  <c r="J3" i="1"/>
  <c r="J13" i="1" s="1"/>
  <c r="I66" i="1"/>
  <c r="I67" i="1" s="1"/>
  <c r="I20" i="3" s="1"/>
  <c r="I22" i="3" s="1"/>
  <c r="E39" i="1"/>
  <c r="E57" i="1"/>
  <c r="E5" i="1"/>
  <c r="E3" i="1" s="1"/>
  <c r="I19" i="1"/>
  <c r="I28" i="1" s="1"/>
  <c r="I5" i="3" s="1"/>
  <c r="I7" i="3" s="1"/>
  <c r="K50" i="1"/>
  <c r="K41" i="3" s="1"/>
  <c r="K43" i="3" s="1"/>
  <c r="K51" i="1"/>
  <c r="K44" i="3" s="1"/>
  <c r="K46" i="3" s="1"/>
  <c r="K46" i="1"/>
  <c r="K11" i="3" s="1"/>
  <c r="K13" i="3" s="1"/>
  <c r="F55" i="1"/>
  <c r="G19" i="1"/>
  <c r="I37" i="1"/>
  <c r="D19" i="1"/>
  <c r="F37" i="1"/>
  <c r="I55" i="1"/>
  <c r="G3" i="1"/>
  <c r="D39" i="1"/>
  <c r="D37" i="1" s="1"/>
  <c r="D57" i="1"/>
  <c r="D55" i="1" s="1"/>
  <c r="D5" i="1"/>
  <c r="D3" i="1" s="1"/>
  <c r="I3" i="1"/>
  <c r="G55" i="1"/>
  <c r="J66" i="1"/>
  <c r="J67" i="1" s="1"/>
  <c r="J20" i="3" s="1"/>
  <c r="J22" i="3" s="1"/>
  <c r="F3" i="1"/>
  <c r="F19" i="1"/>
  <c r="K14" i="1"/>
  <c r="K32" i="3" s="1"/>
  <c r="K34" i="3" s="1"/>
  <c r="K13" i="1"/>
  <c r="G37" i="1"/>
  <c r="K64" i="1"/>
  <c r="K17" i="3" s="1"/>
  <c r="K19" i="3" s="1"/>
  <c r="K69" i="1"/>
  <c r="K50" i="3" s="1"/>
  <c r="K52" i="3" s="1"/>
  <c r="K68" i="1"/>
  <c r="K47" i="3" s="1"/>
  <c r="K49" i="3" s="1"/>
  <c r="J37" i="1"/>
  <c r="C34" i="8"/>
  <c r="C43" i="8" s="1"/>
  <c r="K74" i="1"/>
  <c r="J76" i="1"/>
  <c r="J23" i="3" s="1"/>
  <c r="J25" i="3" s="1"/>
  <c r="J32" i="1"/>
  <c r="J35" i="3" s="1"/>
  <c r="J37" i="3" s="1"/>
  <c r="J28" i="1"/>
  <c r="J5" i="3" s="1"/>
  <c r="J7" i="3" s="1"/>
  <c r="J33" i="1"/>
  <c r="J38" i="3" s="1"/>
  <c r="J40" i="3" s="1"/>
  <c r="C20" i="8"/>
  <c r="C29" i="8" s="1"/>
  <c r="C48" i="8"/>
  <c r="C57" i="8" s="1"/>
  <c r="C12" i="5"/>
  <c r="I32" i="1" l="1"/>
  <c r="I35" i="3" s="1"/>
  <c r="I37" i="3" s="1"/>
  <c r="J68" i="1"/>
  <c r="J47" i="3" s="1"/>
  <c r="J49" i="3" s="1"/>
  <c r="J64" i="1"/>
  <c r="J17" i="3" s="1"/>
  <c r="J19" i="3" s="1"/>
  <c r="H56" i="3"/>
  <c r="G3" i="5" s="1"/>
  <c r="G10" i="5" s="1"/>
  <c r="G4" i="9" s="1"/>
  <c r="G5" i="9" s="1"/>
  <c r="H85" i="8"/>
  <c r="I33" i="1"/>
  <c r="I38" i="3" s="1"/>
  <c r="I40" i="3" s="1"/>
  <c r="J2" i="3"/>
  <c r="J4" i="3" s="1"/>
  <c r="J14" i="1"/>
  <c r="J32" i="3" s="1"/>
  <c r="J34" i="3" s="1"/>
  <c r="K76" i="1"/>
  <c r="K23" i="3" s="1"/>
  <c r="K25" i="3" s="1"/>
  <c r="L74" i="1"/>
  <c r="K2" i="3"/>
  <c r="K4" i="3" s="1"/>
  <c r="G11" i="8"/>
  <c r="F10" i="8"/>
  <c r="F15" i="8" s="1"/>
  <c r="H84" i="8"/>
  <c r="D5" i="8"/>
  <c r="D15" i="8" s="1"/>
  <c r="K56" i="3"/>
  <c r="J3" i="5" s="1"/>
  <c r="D66" i="1"/>
  <c r="F14" i="1"/>
  <c r="F32" i="3" s="1"/>
  <c r="F34" i="3" s="1"/>
  <c r="F13" i="1"/>
  <c r="I14" i="1"/>
  <c r="I32" i="3" s="1"/>
  <c r="I34" i="3" s="1"/>
  <c r="I13" i="1"/>
  <c r="D68" i="1"/>
  <c r="D69" i="1"/>
  <c r="I69" i="1"/>
  <c r="I50" i="3" s="1"/>
  <c r="I52" i="3" s="1"/>
  <c r="I64" i="1"/>
  <c r="I17" i="3" s="1"/>
  <c r="I19" i="3" s="1"/>
  <c r="I68" i="1"/>
  <c r="I47" i="3" s="1"/>
  <c r="I49" i="3" s="1"/>
  <c r="G64" i="1"/>
  <c r="G17" i="3" s="1"/>
  <c r="G19" i="3" s="1"/>
  <c r="G68" i="1"/>
  <c r="G47" i="3" s="1"/>
  <c r="G49" i="3" s="1"/>
  <c r="G69" i="1"/>
  <c r="G50" i="3" s="1"/>
  <c r="G52" i="3" s="1"/>
  <c r="F51" i="1"/>
  <c r="F44" i="3" s="1"/>
  <c r="F46" i="3" s="1"/>
  <c r="F50" i="1"/>
  <c r="F41" i="3" s="1"/>
  <c r="F43" i="3" s="1"/>
  <c r="F46" i="1"/>
  <c r="F11" i="3" s="1"/>
  <c r="F13" i="3" s="1"/>
  <c r="I50" i="1"/>
  <c r="I41" i="3" s="1"/>
  <c r="I43" i="3" s="1"/>
  <c r="I46" i="1"/>
  <c r="I11" i="3" s="1"/>
  <c r="I13" i="3" s="1"/>
  <c r="I51" i="1"/>
  <c r="I44" i="3" s="1"/>
  <c r="I46" i="3" s="1"/>
  <c r="E14" i="1"/>
  <c r="E32" i="3" s="1"/>
  <c r="E34" i="3" s="1"/>
  <c r="E13" i="1"/>
  <c r="G14" i="1"/>
  <c r="G32" i="3" s="1"/>
  <c r="G34" i="3" s="1"/>
  <c r="G13" i="1"/>
  <c r="G28" i="1"/>
  <c r="G5" i="3" s="1"/>
  <c r="G7" i="3" s="1"/>
  <c r="G32" i="1"/>
  <c r="G35" i="3" s="1"/>
  <c r="G37" i="3" s="1"/>
  <c r="G33" i="1"/>
  <c r="G38" i="3" s="1"/>
  <c r="G40" i="3" s="1"/>
  <c r="E55" i="1"/>
  <c r="E66" i="1"/>
  <c r="E67" i="1" s="1"/>
  <c r="E20" i="3" s="1"/>
  <c r="E22" i="3" s="1"/>
  <c r="J46" i="1"/>
  <c r="J11" i="3" s="1"/>
  <c r="J13" i="3" s="1"/>
  <c r="J50" i="1"/>
  <c r="J41" i="3" s="1"/>
  <c r="J43" i="3" s="1"/>
  <c r="J51" i="1"/>
  <c r="J44" i="3" s="1"/>
  <c r="J46" i="3" s="1"/>
  <c r="G51" i="1"/>
  <c r="G44" i="3" s="1"/>
  <c r="G46" i="3" s="1"/>
  <c r="G50" i="1"/>
  <c r="G41" i="3" s="1"/>
  <c r="G43" i="3" s="1"/>
  <c r="G46" i="1"/>
  <c r="G11" i="3" s="1"/>
  <c r="G13" i="3" s="1"/>
  <c r="F28" i="1"/>
  <c r="F5" i="3" s="1"/>
  <c r="F7" i="3" s="1"/>
  <c r="F32" i="1"/>
  <c r="F35" i="3" s="1"/>
  <c r="F37" i="3" s="1"/>
  <c r="F33" i="1"/>
  <c r="F38" i="3" s="1"/>
  <c r="F40" i="3" s="1"/>
  <c r="D13" i="1"/>
  <c r="D14" i="1"/>
  <c r="F68" i="1"/>
  <c r="F47" i="3" s="1"/>
  <c r="F49" i="3" s="1"/>
  <c r="F69" i="1"/>
  <c r="F50" i="3" s="1"/>
  <c r="F52" i="3" s="1"/>
  <c r="F64" i="1"/>
  <c r="F17" i="3" s="1"/>
  <c r="F19" i="3" s="1"/>
  <c r="E37" i="1"/>
  <c r="E48" i="1"/>
  <c r="E49" i="1" s="1"/>
  <c r="E14" i="3" s="1"/>
  <c r="E16" i="3" s="1"/>
  <c r="H87" i="8" l="1"/>
  <c r="J29" i="3"/>
  <c r="I2" i="5" s="1"/>
  <c r="K29" i="3"/>
  <c r="J2" i="5" s="1"/>
  <c r="J10" i="5" s="1"/>
  <c r="J13" i="5" s="1"/>
  <c r="J16" i="9" s="1"/>
  <c r="J18" i="9" s="1"/>
  <c r="G2" i="3"/>
  <c r="G4" i="3" s="1"/>
  <c r="G29" i="3" s="1"/>
  <c r="F2" i="5" s="1"/>
  <c r="E2" i="3"/>
  <c r="E4" i="3" s="1"/>
  <c r="F2" i="3"/>
  <c r="F4" i="3" s="1"/>
  <c r="F29" i="3" s="1"/>
  <c r="E2" i="5" s="1"/>
  <c r="M74" i="1"/>
  <c r="L76" i="1"/>
  <c r="L23" i="3" s="1"/>
  <c r="L25" i="3" s="1"/>
  <c r="L29" i="3" s="1"/>
  <c r="K2" i="5" s="1"/>
  <c r="K10" i="5" s="1"/>
  <c r="I2" i="3"/>
  <c r="I4" i="3" s="1"/>
  <c r="I29" i="3" s="1"/>
  <c r="H2" i="5" s="1"/>
  <c r="H11" i="8"/>
  <c r="G10" i="8"/>
  <c r="G15" i="8" s="1"/>
  <c r="C87" i="8"/>
  <c r="D85" i="8"/>
  <c r="J56" i="3"/>
  <c r="I3" i="5" s="1"/>
  <c r="G13" i="5"/>
  <c r="G16" i="9" s="1"/>
  <c r="G18" i="9" s="1"/>
  <c r="I56" i="3"/>
  <c r="H3" i="5" s="1"/>
  <c r="F56" i="3"/>
  <c r="E3" i="5" s="1"/>
  <c r="E46" i="1"/>
  <c r="E11" i="3" s="1"/>
  <c r="E13" i="3" s="1"/>
  <c r="E51" i="1"/>
  <c r="E44" i="3" s="1"/>
  <c r="E46" i="3" s="1"/>
  <c r="E50" i="1"/>
  <c r="E41" i="3" s="1"/>
  <c r="E43" i="3" s="1"/>
  <c r="E64" i="1"/>
  <c r="E17" i="3" s="1"/>
  <c r="E19" i="3" s="1"/>
  <c r="E68" i="1"/>
  <c r="E47" i="3" s="1"/>
  <c r="E49" i="3" s="1"/>
  <c r="E69" i="1"/>
  <c r="E50" i="3" s="1"/>
  <c r="E52" i="3" s="1"/>
  <c r="G56" i="3"/>
  <c r="F3" i="5" s="1"/>
  <c r="I10" i="5" l="1"/>
  <c r="I4" i="9" s="1"/>
  <c r="I5" i="9" s="1"/>
  <c r="H10" i="8"/>
  <c r="H15" i="8" s="1"/>
  <c r="H96" i="8" s="1"/>
  <c r="K13" i="5"/>
  <c r="K16" i="9" s="1"/>
  <c r="K18" i="9" s="1"/>
  <c r="K4" i="9"/>
  <c r="K5" i="9" s="1"/>
  <c r="N74" i="1"/>
  <c r="M76" i="1"/>
  <c r="M23" i="3" s="1"/>
  <c r="M25" i="3" s="1"/>
  <c r="M29" i="3" s="1"/>
  <c r="L2" i="5" s="1"/>
  <c r="L10" i="5" s="1"/>
  <c r="E85" i="8"/>
  <c r="D87" i="8"/>
  <c r="D96" i="8" s="1"/>
  <c r="J4" i="9"/>
  <c r="J5" i="9" s="1"/>
  <c r="H10" i="5"/>
  <c r="H13" i="5" s="1"/>
  <c r="H16" i="9" s="1"/>
  <c r="H18" i="9" s="1"/>
  <c r="E10" i="5"/>
  <c r="E13" i="5" s="1"/>
  <c r="E16" i="9" s="1"/>
  <c r="E18" i="9" s="1"/>
  <c r="E29" i="3"/>
  <c r="D2" i="5" s="1"/>
  <c r="I13" i="5"/>
  <c r="I16" i="9" s="1"/>
  <c r="I18" i="9" s="1"/>
  <c r="E56" i="3"/>
  <c r="D3" i="5" s="1"/>
  <c r="F10" i="5"/>
  <c r="N76" i="1" l="1"/>
  <c r="N23" i="3" s="1"/>
  <c r="N25" i="3" s="1"/>
  <c r="N29" i="3" s="1"/>
  <c r="M2" i="5" s="1"/>
  <c r="M10" i="5" s="1"/>
  <c r="O74" i="1"/>
  <c r="O76" i="1" s="1"/>
  <c r="O23" i="3" s="1"/>
  <c r="O25" i="3" s="1"/>
  <c r="O29" i="3" s="1"/>
  <c r="N2" i="5" s="1"/>
  <c r="N10" i="5" s="1"/>
  <c r="L13" i="5"/>
  <c r="L16" i="9" s="1"/>
  <c r="L18" i="9" s="1"/>
  <c r="L4" i="9"/>
  <c r="L5" i="9" s="1"/>
  <c r="F85" i="8"/>
  <c r="E87" i="8"/>
  <c r="E96" i="8" s="1"/>
  <c r="H4" i="9"/>
  <c r="H5" i="9" s="1"/>
  <c r="E4" i="9"/>
  <c r="E5" i="9" s="1"/>
  <c r="D10" i="5"/>
  <c r="D13" i="5" s="1"/>
  <c r="D16" i="9" s="1"/>
  <c r="D18" i="9" s="1"/>
  <c r="F13" i="5"/>
  <c r="F16" i="9" s="1"/>
  <c r="F18" i="9" s="1"/>
  <c r="F4" i="9"/>
  <c r="F5" i="9" s="1"/>
  <c r="D17" i="7"/>
  <c r="D2" i="7"/>
  <c r="D15" i="7" s="1"/>
  <c r="N13" i="5" l="1"/>
  <c r="N16" i="9" s="1"/>
  <c r="N4" i="9"/>
  <c r="N5" i="9" s="1"/>
  <c r="M4" i="9"/>
  <c r="M5" i="9" s="1"/>
  <c r="M13" i="5"/>
  <c r="M16" i="9" s="1"/>
  <c r="M18" i="9" s="1"/>
  <c r="D4" i="9"/>
  <c r="D5" i="9" s="1"/>
  <c r="G85" i="8"/>
  <c r="G87" i="8" s="1"/>
  <c r="G96" i="8" s="1"/>
  <c r="F87" i="8"/>
  <c r="F96" i="8" s="1"/>
  <c r="C79" i="8"/>
  <c r="C13" i="6"/>
  <c r="C3" i="6"/>
  <c r="D30" i="7"/>
  <c r="C6" i="6" s="1"/>
  <c r="C96" i="8" l="1"/>
  <c r="C98" i="8" s="1"/>
  <c r="N18" i="9"/>
  <c r="D32" i="7"/>
  <c r="C15" i="6"/>
  <c r="C4" i="6"/>
  <c r="C18" i="6"/>
  <c r="C17" i="9" s="1"/>
  <c r="C16" i="6" l="1"/>
  <c r="C3" i="9" s="1"/>
  <c r="C7" i="6"/>
  <c r="C9" i="6" s="1"/>
  <c r="C2" i="9" s="1"/>
  <c r="C13" i="4" l="1"/>
  <c r="C6" i="5" s="1"/>
  <c r="D50" i="3"/>
  <c r="D47" i="3"/>
  <c r="D51" i="1"/>
  <c r="D44" i="3" s="1"/>
  <c r="D50" i="1"/>
  <c r="D41" i="3" s="1"/>
  <c r="D33" i="1"/>
  <c r="D38" i="3" s="1"/>
  <c r="D32" i="1"/>
  <c r="D35" i="3" s="1"/>
  <c r="D36" i="3"/>
  <c r="D39" i="3"/>
  <c r="D42" i="3"/>
  <c r="D45" i="3"/>
  <c r="D48" i="3"/>
  <c r="D51" i="3"/>
  <c r="D53" i="3"/>
  <c r="D54" i="3"/>
  <c r="D33" i="3"/>
  <c r="D48" i="1"/>
  <c r="D18" i="3"/>
  <c r="D12" i="3"/>
  <c r="D6" i="3"/>
  <c r="D37" i="3" l="1"/>
  <c r="D46" i="3"/>
  <c r="D49" i="3"/>
  <c r="D40" i="3"/>
  <c r="D52" i="3"/>
  <c r="D55" i="3"/>
  <c r="D43" i="3"/>
  <c r="D3" i="3" l="1"/>
  <c r="D67" i="1" l="1"/>
  <c r="D20" i="3" s="1"/>
  <c r="D22" i="3" s="1"/>
  <c r="D64" i="1"/>
  <c r="D17" i="3" s="1"/>
  <c r="D19" i="3" s="1"/>
  <c r="D46" i="1"/>
  <c r="D11" i="3" s="1"/>
  <c r="D13" i="3" s="1"/>
  <c r="D49" i="1"/>
  <c r="D14" i="3" s="1"/>
  <c r="D16" i="3" s="1"/>
  <c r="D31" i="1"/>
  <c r="D8" i="3" s="1"/>
  <c r="D10" i="3" s="1"/>
  <c r="D28" i="1"/>
  <c r="D5" i="3" s="1"/>
  <c r="D7" i="3" s="1"/>
  <c r="D32" i="3" l="1"/>
  <c r="D34" i="3" s="1"/>
  <c r="D56" i="3" s="1"/>
  <c r="C3" i="5" s="1"/>
  <c r="D2" i="3" l="1"/>
  <c r="D4" i="3" s="1"/>
  <c r="D76" i="1" l="1"/>
  <c r="D23" i="3" l="1"/>
  <c r="D25" i="3" s="1"/>
  <c r="D29" i="3" s="1"/>
  <c r="C2" i="5" s="1"/>
  <c r="C10" i="5" s="1"/>
  <c r="C13" i="5" l="1"/>
  <c r="C16" i="9" s="1"/>
  <c r="C18" i="9" s="1"/>
  <c r="C4" i="9"/>
  <c r="C5" i="9" s="1"/>
  <c r="C8" i="9" l="1"/>
  <c r="C9" i="9" s="1"/>
  <c r="D6" i="9" l="1"/>
  <c r="D8" i="9" s="1"/>
  <c r="D9" i="9" s="1"/>
  <c r="E6" i="9" l="1"/>
  <c r="E8" i="9" s="1"/>
  <c r="E9" i="9" s="1"/>
  <c r="F6" i="9" l="1"/>
  <c r="F8" i="9" s="1"/>
  <c r="F9" i="9" s="1"/>
  <c r="G6" i="9" l="1"/>
  <c r="G8" i="9" s="1"/>
  <c r="G9" i="9" s="1"/>
  <c r="H6" i="9" l="1"/>
  <c r="H8" i="9" s="1"/>
  <c r="H9" i="9" s="1"/>
  <c r="I6" i="9" l="1"/>
  <c r="I8" i="9" s="1"/>
  <c r="I9" i="9" s="1"/>
  <c r="J6" i="9" l="1"/>
  <c r="J8" i="9" s="1"/>
  <c r="J9" i="9" s="1"/>
  <c r="K6" i="9" l="1"/>
  <c r="K8" i="9" s="1"/>
  <c r="K9" i="9" s="1"/>
  <c r="L6" i="9" l="1"/>
  <c r="L8" i="9" s="1"/>
  <c r="L9" i="9" s="1"/>
  <c r="M6" i="9" l="1"/>
  <c r="M8" i="9" s="1"/>
  <c r="M9" i="9" s="1"/>
  <c r="N6" i="9" l="1"/>
  <c r="N8" i="9" s="1"/>
  <c r="N9" i="9" s="1"/>
  <c r="N14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Cristiane Hirt Kafer</author>
  </authors>
  <commentList>
    <comment ref="N3" authorId="0" shapeId="0" xr:uid="{00000000-0006-0000-0300-000001000000}">
      <text>
        <r>
          <rPr>
            <sz val="9"/>
            <color indexed="81"/>
            <rFont val="Segoe UI"/>
            <family val="2"/>
          </rPr>
          <t>Inclui NF referente a outubro que recebemos após o envio a Agergs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N5" authorId="0" shapeId="0" xr:uid="{00000000-0006-0000-0300-000002000000}">
      <text>
        <r>
          <rPr>
            <sz val="9"/>
            <color indexed="81"/>
            <rFont val="Segoe UI"/>
            <family val="2"/>
          </rPr>
          <t>Inclui NF referente a outubro que recebemos após o envio a Agergs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11" authorId="0" shapeId="0" xr:uid="{00000000-0006-0000-0300-000003000000}">
      <text>
        <r>
          <rPr>
            <b/>
            <sz val="9"/>
            <color indexed="81"/>
            <rFont val="Segoe UI"/>
            <family val="2"/>
          </rPr>
          <t xml:space="preserve">Por determinação da Agergs foram excluídas da apuração da Conta Gráfica as notas relativas ao mês de dezembro de 2024 (ND0042 e ND0043) 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11" authorId="0" shapeId="0" xr:uid="{00000000-0006-0000-0300-000004000000}">
      <text>
        <r>
          <rPr>
            <b/>
            <sz val="9"/>
            <color indexed="81"/>
            <rFont val="Segoe UI"/>
            <charset val="1"/>
          </rPr>
          <t>Excluidas as Notas TBG: BG_PVD_ND477 e TBG_PVD_ND574) totalizando R$ 8.011,41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Cristiane Hirt Kafer</author>
  </authors>
  <commentList>
    <comment ref="B9" authorId="0" shapeId="0" xr:uid="{00000000-0006-0000-0400-000001000000}">
      <text>
        <r>
          <rPr>
            <b/>
            <sz val="9"/>
            <color indexed="81"/>
            <rFont val="Segoe UI"/>
            <family val="2"/>
          </rPr>
          <t>Encargos de balanceamento e de energia elétrica do contrato GALP + arredondamentos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9" authorId="0" shapeId="0" xr:uid="{00000000-0006-0000-0400-000002000000}">
      <text>
        <r>
          <rPr>
            <b/>
            <sz val="9"/>
            <color indexed="81"/>
            <rFont val="Segoe UI"/>
            <family val="2"/>
          </rPr>
          <t>Acrescido de R$ 1.359.322,90 referente ao saldo das notas fiscais de novembro que não entraram no provisionamento de nov/24.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9" authorId="0" shapeId="0" xr:uid="{00000000-0006-0000-0400-000003000000}">
      <text>
        <r>
          <rPr>
            <b/>
            <sz val="9"/>
            <color indexed="81"/>
            <rFont val="Segoe UI"/>
            <family val="2"/>
          </rPr>
          <t xml:space="preserve">R$ 11.698,91 (bruto) = R$ 9.342,75 (líquido) é o valor de nota complementar contrato Petrobras NMG22-25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9" authorId="0" shapeId="0" xr:uid="{00000000-0006-0000-0400-000004000000}">
      <text>
        <r>
          <rPr>
            <b/>
            <sz val="9"/>
            <color indexed="81"/>
            <rFont val="Segoe UI"/>
            <family val="2"/>
          </rPr>
          <t>R$ 90.008,00 (líquido) é o valor cobrado a mais pela Petrobras nas NFs de PGU1 e PGU2 dos contratos NMG22-25 e NMG24-32 - Notas de Crédito serão emitidas futuramente e serão compensados tais valores</t>
        </r>
      </text>
    </comment>
    <comment ref="L9" authorId="0" shapeId="0" xr:uid="{00000000-0006-0000-0400-000005000000}">
      <text>
        <r>
          <rPr>
            <b/>
            <sz val="9"/>
            <color indexed="81"/>
            <rFont val="Segoe UI"/>
            <family val="2"/>
          </rPr>
          <t>Encargos GALP + arredondamentos</t>
        </r>
      </text>
    </comment>
    <comment ref="M9" authorId="0" shapeId="0" xr:uid="{00000000-0006-0000-0400-000006000000}">
      <text>
        <r>
          <rPr>
            <b/>
            <sz val="9"/>
            <color indexed="81"/>
            <rFont val="Segoe UI"/>
            <family val="2"/>
          </rPr>
          <t xml:space="preserve">Encargos GALP + Notas de Crédito PGU1 e PGU2 NMG22-25 e NMG24-32+ Arredondamentos GALP e Biometano 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9" authorId="0" shapeId="0" xr:uid="{00000000-0006-0000-0400-000007000000}">
      <text>
        <r>
          <rPr>
            <b/>
            <sz val="9"/>
            <color indexed="81"/>
            <rFont val="Segoe UI"/>
            <charset val="1"/>
          </rPr>
          <t>Encargos GALP +Notas de outubro TBG + arredondamentos GALP, Bioo21 e Bioo24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Cristiane Hirt Kafer</author>
  </authors>
  <commentList>
    <comment ref="B78" authorId="0" shapeId="0" xr:uid="{00000000-0006-0000-0900-000001000000}">
      <text>
        <r>
          <rPr>
            <b/>
            <sz val="9"/>
            <color indexed="81"/>
            <rFont val="Segoe UI"/>
            <family val="2"/>
          </rPr>
          <t>reajusta em janeiro com IGP-M dezembro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86" authorId="0" shapeId="0" xr:uid="{00000000-0006-0000-0900-000002000000}">
      <text>
        <r>
          <rPr>
            <b/>
            <sz val="9"/>
            <color indexed="81"/>
            <rFont val="Segoe UI"/>
            <family val="2"/>
          </rPr>
          <t>reajusta em maio com IGP-M abril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Cristiane Hirt Kafer</author>
  </authors>
  <commentList>
    <comment ref="K1" authorId="0" shapeId="0" xr:uid="{00000000-0006-0000-0B00-000001000000}">
      <text>
        <r>
          <rPr>
            <b/>
            <sz val="9"/>
            <color indexed="81"/>
            <rFont val="Segoe UI"/>
            <family val="2"/>
          </rPr>
          <t xml:space="preserve">Para ter acesso às cotações diárias do Brent Platt's é necessário fazer assinatura (Sulgás não possui)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<sst xmlns="http://schemas.openxmlformats.org/spreadsheetml/2006/main" count="970" uniqueCount="328">
  <si>
    <t>Sigla</t>
  </si>
  <si>
    <t>Variável</t>
  </si>
  <si>
    <t>Nome contrato</t>
  </si>
  <si>
    <t>GALP (12,6% Brent ICE)</t>
  </si>
  <si>
    <t>Gás regular</t>
  </si>
  <si>
    <t>PM</t>
  </si>
  <si>
    <t xml:space="preserve">Parcela da Molécula- R$/m³ </t>
  </si>
  <si>
    <t>TC</t>
  </si>
  <si>
    <t>Taxa de Câmbio Gás  - TC - R$/US$</t>
  </si>
  <si>
    <t>Brent ICE</t>
  </si>
  <si>
    <t>BRENT - US$/Barril</t>
  </si>
  <si>
    <t>%Brent</t>
  </si>
  <si>
    <t>% Brent</t>
  </si>
  <si>
    <t>FC</t>
  </si>
  <si>
    <t>Fator de Conversão - FC</t>
  </si>
  <si>
    <t>PT</t>
  </si>
  <si>
    <t xml:space="preserve">Parcela do Transporte - R$/m³ </t>
  </si>
  <si>
    <t>NTSe</t>
  </si>
  <si>
    <t>NTS Entrada TECAB - R$/MMBtu</t>
  </si>
  <si>
    <t>NTSs</t>
  </si>
  <si>
    <t>NTS Saída Replan - R$/MMBtu</t>
  </si>
  <si>
    <t>TBGe</t>
  </si>
  <si>
    <t>TBG Entrada Gascar - R$/MMBtu</t>
  </si>
  <si>
    <t>GUS</t>
  </si>
  <si>
    <t>PGRAi</t>
  </si>
  <si>
    <t>Preço do gás regular adquirido GALP</t>
  </si>
  <si>
    <t>Gás de ultrapassagem</t>
  </si>
  <si>
    <t>PGUAi</t>
  </si>
  <si>
    <t xml:space="preserve"> Preço gás de ultrapassagem adquirido GALP</t>
  </si>
  <si>
    <t>Gás de oportunidade</t>
  </si>
  <si>
    <t>PGOAi</t>
  </si>
  <si>
    <t>Preço do gás de oportunidade adquirido GALP</t>
  </si>
  <si>
    <t>NMG 22-25 (11,6% Brent Platt's)</t>
  </si>
  <si>
    <t xml:space="preserve">Parcela da Molécula - R$/m³ </t>
  </si>
  <si>
    <t>Taxa de Câmbio Gás  - TCt - R$/US$</t>
  </si>
  <si>
    <t>Brent Platts</t>
  </si>
  <si>
    <t>BRENTt - US$/Barril</t>
  </si>
  <si>
    <t>IGPMíndice</t>
  </si>
  <si>
    <t>IGPM - Índice</t>
  </si>
  <si>
    <t>IGPM0</t>
  </si>
  <si>
    <t>PT0</t>
  </si>
  <si>
    <t>Preço do gás regular adquirido NMG 22-25</t>
  </si>
  <si>
    <t>Gás regular de performance</t>
  </si>
  <si>
    <t>%Brent_perf</t>
  </si>
  <si>
    <t>% Brent de performance</t>
  </si>
  <si>
    <t>PM_perf</t>
  </si>
  <si>
    <t xml:space="preserve">Parcela da Molécula de performance - R$/m³ </t>
  </si>
  <si>
    <t>PGRAi_perf</t>
  </si>
  <si>
    <t>Preço do gás regular de performance adquirido NMG 22-25</t>
  </si>
  <si>
    <t>PGUAi1</t>
  </si>
  <si>
    <t>Preço do gás de ultrapassagem adquirido NMG22-25 nível 1</t>
  </si>
  <si>
    <t>PGUAi2</t>
  </si>
  <si>
    <t>Preço do gás de ultrapassagem adquirido NMG22-25 nível 2</t>
  </si>
  <si>
    <t>NMG 24-34 (11,9% Brent ICE)</t>
  </si>
  <si>
    <t>Preço do gás regular adquirido NMG 24-34</t>
  </si>
  <si>
    <t>Preço do gás regular de performance adquirido NMG 24-34</t>
  </si>
  <si>
    <t>Preço do gás de ultrapassagem adquirido NMG24-34 nível 1</t>
  </si>
  <si>
    <t>Preço do gás de ultrapassagem adquirido NMG24-34nível 2</t>
  </si>
  <si>
    <t>NMG 24-32 (12,9% Brent ICE)</t>
  </si>
  <si>
    <t>Preço do gás regular adquirido NMG24-32</t>
  </si>
  <si>
    <t>Preço do gás regular de performance adquirido NMG 24-32</t>
  </si>
  <si>
    <t>Preço do gás de ultrapassagem adquirido NMG24-32 nível 1</t>
  </si>
  <si>
    <t>Preço do gás de ultrapassagem adquirido NMG24-32nível 2</t>
  </si>
  <si>
    <t>PM bio</t>
  </si>
  <si>
    <t xml:space="preserve">Parcela da Molécula de Biometano - R$/m³ </t>
  </si>
  <si>
    <t>PAIR</t>
  </si>
  <si>
    <t>Parcela de Injeção em rede</t>
  </si>
  <si>
    <t>Rbio</t>
  </si>
  <si>
    <t>Reajuste Biometano (anual, IGPM)</t>
  </si>
  <si>
    <t>Preço do gás regular adquirido Biometano</t>
  </si>
  <si>
    <t xml:space="preserve"> Preço do gás de ultrapassagem Biometano</t>
  </si>
  <si>
    <t>Biometano 2021</t>
  </si>
  <si>
    <t>VGRAi</t>
  </si>
  <si>
    <t>Volume de gás regular adquirido GALP</t>
  </si>
  <si>
    <t>VGUAi</t>
  </si>
  <si>
    <t>Volume de gás de ultrapassagem adquirido GALP</t>
  </si>
  <si>
    <t>VGOAi</t>
  </si>
  <si>
    <t>Volume de gás de oportunidade adquirido GALP</t>
  </si>
  <si>
    <t>Volume de gás regular adquirido NMG 22-25</t>
  </si>
  <si>
    <t>VGRAi_perf</t>
  </si>
  <si>
    <t>Volume de gás de performance adquirido NMG 22-25</t>
  </si>
  <si>
    <t>VGUAi1</t>
  </si>
  <si>
    <t>Volume de gás de ultrapassagem adquirido NMG 22-25 nível 1</t>
  </si>
  <si>
    <t>VGUAi2</t>
  </si>
  <si>
    <t>Volume de gás de ultrapassagem adquirido NMG 22-25 nível 2</t>
  </si>
  <si>
    <t>Volume de gás regular adquirido NMG 24-34</t>
  </si>
  <si>
    <t>Volume de gás de performance adquirido NMG 24-34</t>
  </si>
  <si>
    <t>Volume de gás de ultrapassagem adquiridoNMG 24-34 nível 1</t>
  </si>
  <si>
    <t>Volume de gás de ultrapassagem adquirido NMG 24-34 nível 2</t>
  </si>
  <si>
    <t>Volume de gás regular adquirido NMG 24-32</t>
  </si>
  <si>
    <t>Volume de gás de performance adquirido NMG 24-32</t>
  </si>
  <si>
    <t>Volume de gás de ultrapassagem adquirido NMG 24-32 nível 1</t>
  </si>
  <si>
    <t>Volume de gás de ultrapassagem adquirido NMG 24-32 nível 2</t>
  </si>
  <si>
    <t>Volume de gás regular adquirido Biometano 2023</t>
  </si>
  <si>
    <t>Volume de gás de ultrapassagem adquirido Biometano 2023</t>
  </si>
  <si>
    <t>Volume de gás regular adquirido Biometano 2021</t>
  </si>
  <si>
    <t>Volume de gás de ultrapassagem adquirido Biometano 2021</t>
  </si>
  <si>
    <t>VGRAt</t>
  </si>
  <si>
    <t>Volume de gás regular total adquirido</t>
  </si>
  <si>
    <t>VGRUt</t>
  </si>
  <si>
    <t>Volume de gás de ultrapassagem total adquirido</t>
  </si>
  <si>
    <t>VGOAt</t>
  </si>
  <si>
    <t>Volume de gás de oportunidade total adquirido</t>
  </si>
  <si>
    <t>Gás total</t>
  </si>
  <si>
    <t>VTA</t>
  </si>
  <si>
    <t>Volume de gás total adquirido</t>
  </si>
  <si>
    <t>Gás Regular</t>
  </si>
  <si>
    <t>GRAi</t>
  </si>
  <si>
    <t>Montante do gás regular adquirido GALP</t>
  </si>
  <si>
    <t>Montante do gás regular adquirido NMG 22-25</t>
  </si>
  <si>
    <t>Gás Regular de Performance</t>
  </si>
  <si>
    <t>Volume de gás regular de performance adquirido NMG 22-25</t>
  </si>
  <si>
    <t>GRAi_perf</t>
  </si>
  <si>
    <t>Montante do gás regular de performance adquirido NMG 22-25</t>
  </si>
  <si>
    <t>Montante do gás regular adquirido NMG 24-34</t>
  </si>
  <si>
    <t>Volume de gás regular de performance adquirido NMG 24-34</t>
  </si>
  <si>
    <t>Montante do gás regular de performance adquirido NMG 24-34</t>
  </si>
  <si>
    <t>Montante do gás regular adquirido NMG 24-32</t>
  </si>
  <si>
    <t>Volume de gás regular de performance adquirido NMG 24-32</t>
  </si>
  <si>
    <t>Montante do gás regular de performance adquirido NMG 24-32</t>
  </si>
  <si>
    <t>Preço do gás regular adquirido Biometano 2021</t>
  </si>
  <si>
    <t>Montante do gás regular adquirido Biometano 2021</t>
  </si>
  <si>
    <t>GRAt</t>
  </si>
  <si>
    <t>Montante do gás regular total adqurido</t>
  </si>
  <si>
    <t>Gás de Ultrapassagem</t>
  </si>
  <si>
    <t>GRUi</t>
  </si>
  <si>
    <t>Montante do gás de ultrapassagem adqurido GALP</t>
  </si>
  <si>
    <t>Preço do gás de ultrapassagem adquirido NMG 22-25 nível 1</t>
  </si>
  <si>
    <t>Montante do gás de ultrapassagem adqurido NMG 22-25 nível 1</t>
  </si>
  <si>
    <t>Preço do gás de ultrapassagem adquirido NMG 22-25nível 2</t>
  </si>
  <si>
    <t>Montante do gás de ultrapassagem adqurido NMG 22-25 nível 2</t>
  </si>
  <si>
    <t>Preço do gás de ultrapassagem adquirido NMG 24-34 nível 1</t>
  </si>
  <si>
    <t>Volume de gás de ultrapassagem adquirido NMG 24-34 nível 1</t>
  </si>
  <si>
    <t>Montante do gás de ultrapassagem adqurido NMG 24-34 nível 1</t>
  </si>
  <si>
    <t>Preço do gás de ultrapassagem adquirido NMG 24-34nível 2</t>
  </si>
  <si>
    <t>Montante do gás de ultrapassagem adqurido NMG 24-34 nível 2</t>
  </si>
  <si>
    <t>Preço do gás de ultrapassagem adquirido NMG 24-32 nível 1</t>
  </si>
  <si>
    <t>Montante do gás de ultrapassagem adqurido NMG 24-32 nível 1</t>
  </si>
  <si>
    <t>Preço do gás de ultrapassagem adquirido NMG24-32 nível 2</t>
  </si>
  <si>
    <t>Montante do gás de ultrapassagem adqurido NMG24-32 nível 2</t>
  </si>
  <si>
    <t>Volume de gás de ultrapassagem adquirido Biometano</t>
  </si>
  <si>
    <t>Montante do gás de ultrapassagem adqurido Biometano</t>
  </si>
  <si>
    <t>GRUt</t>
  </si>
  <si>
    <t>Montante do gás de ultrapassagem total adqurido</t>
  </si>
  <si>
    <t>Gás de Oportunidade</t>
  </si>
  <si>
    <t>Preço do gás de oportunidade adquirido</t>
  </si>
  <si>
    <t>Volume de gás de oportunidade adquirido</t>
  </si>
  <si>
    <t>GOAi</t>
  </si>
  <si>
    <t>Montante do gás de oportunidade adqurido</t>
  </si>
  <si>
    <t>GOAt</t>
  </si>
  <si>
    <t>Montante do gás de oportunidade total adqurido</t>
  </si>
  <si>
    <t>Encargo de Capacidade</t>
  </si>
  <si>
    <t>ECi</t>
  </si>
  <si>
    <t>Encargo de capacidade GALP</t>
  </si>
  <si>
    <t>Encargo de capacidade NMG 22-25</t>
  </si>
  <si>
    <t>Encargo de capacidade NMG 24-34</t>
  </si>
  <si>
    <t>Encargo de capacidade NMG 24-32</t>
  </si>
  <si>
    <t>Encargo de capacidade Biometano</t>
  </si>
  <si>
    <t>Encargo de capacidade TBG</t>
  </si>
  <si>
    <t>ECt</t>
  </si>
  <si>
    <t>Encargo de Capacidade total</t>
  </si>
  <si>
    <t>Encargo de Transporte</t>
  </si>
  <si>
    <t>ETi</t>
  </si>
  <si>
    <t>Encargo de Transporte TBG</t>
  </si>
  <si>
    <t>Encargo de Transporte TSB</t>
  </si>
  <si>
    <t>ETt</t>
  </si>
  <si>
    <t>Encargo Transporte total</t>
  </si>
  <si>
    <t>Composição dos custos de aquisição</t>
  </si>
  <si>
    <t>Montante do gás regular adqurido</t>
  </si>
  <si>
    <t>Montante do gás de ultrapassagem adqurido</t>
  </si>
  <si>
    <t>Montante do gás de oportunidade adquirido</t>
  </si>
  <si>
    <t>Estoque</t>
  </si>
  <si>
    <t>Rede</t>
  </si>
  <si>
    <t>Rede Local</t>
  </si>
  <si>
    <t>Outros aq</t>
  </si>
  <si>
    <t>Outros custos de aquisição</t>
  </si>
  <si>
    <t>CTA</t>
  </si>
  <si>
    <t>Custo total do gás e do transporte adquirido</t>
  </si>
  <si>
    <t>CUnA</t>
  </si>
  <si>
    <t>Custo Unitário do gás e do transporte adquirido</t>
  </si>
  <si>
    <t>Custos de distribuição</t>
  </si>
  <si>
    <t>PVred</t>
  </si>
  <si>
    <t>Preço de venda do gás estipulado na RED vigente</t>
  </si>
  <si>
    <t>VGRTD</t>
  </si>
  <si>
    <t>Volume de gás regular total distribuído</t>
  </si>
  <si>
    <t>CGRD</t>
  </si>
  <si>
    <t>Custo do gás regular distribuído</t>
  </si>
  <si>
    <t>PGUD</t>
  </si>
  <si>
    <t>Preço do gás de ultrapassagem distribuído</t>
  </si>
  <si>
    <t>VGUTD</t>
  </si>
  <si>
    <t>Volume de gás de ultrapassagem total distribuído</t>
  </si>
  <si>
    <t>CGUD</t>
  </si>
  <si>
    <t>Custo do gás de ultrapassagem distribuído</t>
  </si>
  <si>
    <t>Outros d</t>
  </si>
  <si>
    <t>Outros custos de distribuição</t>
  </si>
  <si>
    <t>CTD</t>
  </si>
  <si>
    <t>Custo total do gás distribuído</t>
  </si>
  <si>
    <t>PRred</t>
  </si>
  <si>
    <t>Parcela de recuperação estipulada na RED vigente</t>
  </si>
  <si>
    <t>TU</t>
  </si>
  <si>
    <t>Taxa de ultrapassagem</t>
  </si>
  <si>
    <t>MPRred</t>
  </si>
  <si>
    <t>Montante parcela de recuperação RED</t>
  </si>
  <si>
    <t>PVT</t>
  </si>
  <si>
    <t>Preço de venda tarifário do gás</t>
  </si>
  <si>
    <t>VGRDc</t>
  </si>
  <si>
    <t>Volume Classe Industrial</t>
  </si>
  <si>
    <t>VGRDseg</t>
  </si>
  <si>
    <t>Volume Classe Industrial Segmento Firme</t>
  </si>
  <si>
    <t>Volume Classe Industrial Segmento GNC</t>
  </si>
  <si>
    <t>Volume Classe Veicular</t>
  </si>
  <si>
    <t>Volume Classe Veicular Segmento Postos</t>
  </si>
  <si>
    <t>Volume Classe Veicular Frotas</t>
  </si>
  <si>
    <t>Volume Classe Veicular GNC</t>
  </si>
  <si>
    <t>Volume Classe Residencial</t>
  </si>
  <si>
    <t>Volume Classe Residencial Segmento Coletivo</t>
  </si>
  <si>
    <t>Volume Classe Residencial Segmento Unifamiliar</t>
  </si>
  <si>
    <t>Volume Classe Residencial Segmento Individual</t>
  </si>
  <si>
    <t>Volume Classe Comercial</t>
  </si>
  <si>
    <t>Volume Classe Cogeração/Geração/Climatização</t>
  </si>
  <si>
    <t>VGUDc</t>
  </si>
  <si>
    <t>VGUDseg</t>
  </si>
  <si>
    <t>Gás Total</t>
  </si>
  <si>
    <t>VDt</t>
  </si>
  <si>
    <t>Volume de gás total distribuído</t>
  </si>
  <si>
    <t>SM</t>
  </si>
  <si>
    <t>Saldo Mensal</t>
  </si>
  <si>
    <t>SAcum m-1</t>
  </si>
  <si>
    <t>Saldo Acumulado no mês anterior</t>
  </si>
  <si>
    <t>SELIC</t>
  </si>
  <si>
    <t>Taxa mensal da SELIC</t>
  </si>
  <si>
    <t>SAtualiz</t>
  </si>
  <si>
    <t>Saldo Atualizado</t>
  </si>
  <si>
    <t>SAcum m</t>
  </si>
  <si>
    <t>Saldo acumulado mês corrente</t>
  </si>
  <si>
    <t>VPT</t>
  </si>
  <si>
    <t>Volume de gás total projetado para o período subsequente</t>
  </si>
  <si>
    <t>VPTtrim</t>
  </si>
  <si>
    <t>Volume de gás total projetado para o trimestre subsequente</t>
  </si>
  <si>
    <t>VPTsem</t>
  </si>
  <si>
    <t>Volume de gás total projetado para o semestre subsequente</t>
  </si>
  <si>
    <t>PR</t>
  </si>
  <si>
    <t>Parcela de recuperação</t>
  </si>
  <si>
    <t>IRG</t>
  </si>
  <si>
    <t>Índice de repasse do preço do gás e do transporte</t>
  </si>
  <si>
    <t>VPc</t>
  </si>
  <si>
    <t>VPseg</t>
  </si>
  <si>
    <t>VPTm</t>
  </si>
  <si>
    <t>Volume de gás regular total projetado</t>
  </si>
  <si>
    <t>AQUISIÇÃO POR CONTRATO DE SUPRIMENTO</t>
  </si>
  <si>
    <t>Nome do Contrato</t>
  </si>
  <si>
    <t xml:space="preserve">Percentual Volume de Gás </t>
  </si>
  <si>
    <t>VCi</t>
  </si>
  <si>
    <t>Volume Mensal Contratado</t>
  </si>
  <si>
    <t>PM_proj</t>
  </si>
  <si>
    <t xml:space="preserve">Parcela da Molécula-PROJETADA R$/m³ </t>
  </si>
  <si>
    <t>TC_proj</t>
  </si>
  <si>
    <t>Taxa de Câmbio Gás  -PROJETADA- R$/US$</t>
  </si>
  <si>
    <t>Brent_proj</t>
  </si>
  <si>
    <t>BRENT PROJETADO - US$/Barril</t>
  </si>
  <si>
    <t>PT_proj</t>
  </si>
  <si>
    <t xml:space="preserve">Parcela do Transporte PROJETADA- R$/m³ </t>
  </si>
  <si>
    <t>NTSe_proj</t>
  </si>
  <si>
    <t>NTS Entrada TECAB  PROJETADA R$/MMBtu</t>
  </si>
  <si>
    <t>NTSs_proj</t>
  </si>
  <si>
    <t>NTS Saída Replan PROJETADA - R$/MMBtu</t>
  </si>
  <si>
    <t>TBGe_proj</t>
  </si>
  <si>
    <t>TBG Entrada Gascar PROJETADA - R$/MMBtu</t>
  </si>
  <si>
    <t>GUS_proj</t>
  </si>
  <si>
    <t xml:space="preserve">Parcela do GUS PROJETADA - R$/m³ </t>
  </si>
  <si>
    <t>Preço do gás CONTRATADO GALP</t>
  </si>
  <si>
    <t>IGPM_proj</t>
  </si>
  <si>
    <t>IGPM projetado</t>
  </si>
  <si>
    <t>PGCi</t>
  </si>
  <si>
    <t>Preço do gás contratado NMG 22-25</t>
  </si>
  <si>
    <t>Preço do gás contratado NMG 24-34</t>
  </si>
  <si>
    <t>Preço do gás contratado NMG24-32</t>
  </si>
  <si>
    <t>Percentual Volume de Gás</t>
  </si>
  <si>
    <t>Rbio_proj</t>
  </si>
  <si>
    <t>Reajuste Biometano (anual, IGPM) Projetado</t>
  </si>
  <si>
    <t>Preço do gás contratado Biometano</t>
  </si>
  <si>
    <t>ETi_proj</t>
  </si>
  <si>
    <t>ETt_proj</t>
  </si>
  <si>
    <t>VCt</t>
  </si>
  <si>
    <t>Volume de gás total contratado</t>
  </si>
  <si>
    <t>PV</t>
  </si>
  <si>
    <t>Preço de Venda do Gás</t>
  </si>
  <si>
    <t>Brent</t>
  </si>
  <si>
    <t>Brent _ICE</t>
  </si>
  <si>
    <t>Brent_Platts</t>
  </si>
  <si>
    <t>Taxa de Câmbio</t>
  </si>
  <si>
    <t>IGPM</t>
  </si>
  <si>
    <t>IGPM índice</t>
  </si>
  <si>
    <t>Data Câmbio Realizado</t>
  </si>
  <si>
    <t>Câmbio Venda Realizado</t>
  </si>
  <si>
    <t>Informação</t>
  </si>
  <si>
    <t>Média Mensal Câmbio</t>
  </si>
  <si>
    <t>Data Brent Realizado</t>
  </si>
  <si>
    <t>Brent ICE Realizado</t>
  </si>
  <si>
    <t>Brent Platts Realizado</t>
  </si>
  <si>
    <t xml:space="preserve">Data Brent Média </t>
  </si>
  <si>
    <t>Média Mensal Brent EIA</t>
  </si>
  <si>
    <t>Realizada</t>
  </si>
  <si>
    <t>Projetada</t>
  </si>
  <si>
    <t>Preço gás de ultrapassagem adquirido GALP</t>
  </si>
  <si>
    <t xml:space="preserve">Gás de ultrapassagem </t>
  </si>
  <si>
    <t xml:space="preserve">Gás de oportunidade </t>
  </si>
  <si>
    <t>Média Mensal/ Trimestral Brent Platts</t>
  </si>
  <si>
    <t>Média Mensal/ Trimestral Brent ICE</t>
  </si>
  <si>
    <t xml:space="preserve">Data Câmbio </t>
  </si>
  <si>
    <t>Média Trimestral Câmbio</t>
  </si>
  <si>
    <t>Biometano 2024</t>
  </si>
  <si>
    <r>
      <rPr>
        <sz val="11"/>
        <rFont val="Aptos Narrow"/>
        <scheme val="minor"/>
      </rPr>
      <t>Parcela do GUS - R$/m</t>
    </r>
    <r>
      <rPr>
        <vertAlign val="superscript"/>
        <sz val="11"/>
        <rFont val="Aptos Narrow"/>
        <scheme val="minor"/>
      </rPr>
      <t>3</t>
    </r>
  </si>
  <si>
    <t>Volume Migrado para o Mercado Livre</t>
  </si>
  <si>
    <t>VGM-ML</t>
  </si>
  <si>
    <t>IPCA</t>
  </si>
  <si>
    <t>IPCA índice</t>
  </si>
  <si>
    <t>IPCA_proj</t>
  </si>
  <si>
    <t xml:space="preserve">Rede Local </t>
  </si>
  <si>
    <t>Volume de gás regular adquirido Estruturante</t>
  </si>
  <si>
    <t>Montante do gás regular adquirido Biometano 2024</t>
  </si>
  <si>
    <t>Preço do gás regular adquirido Biometano 2024</t>
  </si>
  <si>
    <t>Volume de gás regular adquirido Biometano 2024</t>
  </si>
  <si>
    <t>NMG 26-34 (11,7% Brent ICE)</t>
  </si>
  <si>
    <t>Preço do gás contratado NMG 26-34</t>
  </si>
  <si>
    <t>Encargo de Transporte Rede Local</t>
  </si>
  <si>
    <t>Preço de Venda do Gás (Mensal)</t>
  </si>
  <si>
    <t>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</si>
</sst>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0"/>
    <numFmt numFmtId="165" formatCode="_-* #,##0_-;\-* #,##0_-;_-* &quot;-&quot;??_-;_-@_-"/>
    <numFmt numFmtId="166" formatCode="0.0"/>
    <numFmt numFmtId="167" formatCode="#,##0.000"/>
    <numFmt numFmtId="168" formatCode="_-* #,##0.0000_-;\-* #,##0.0000_-;_-* &quot;-&quot;??_-;_-@_-"/>
    <numFmt numFmtId="169" formatCode="0.000%"/>
    <numFmt numFmtId="170" formatCode="_(&quot;R$ &quot;* #,##0.00_);_(&quot;R$ &quot;* \(#,##0.00\);_(&quot;R$ &quot;* &quot;-&quot;??_);_(@_)"/>
    <numFmt numFmtId="171" formatCode="_([$€]* #,##0.00_);_([$€]* \(#,##0.00\);_([$€]* &quot;-&quot;??_);_(@_)"/>
    <numFmt numFmtId="172" formatCode="0.0000%"/>
    <numFmt numFmtId="173" formatCode="0.0000000"/>
  </numFmts>
  <fonts count="5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0"/>
      <color rgb="FF000000"/>
      <name val="Calibri"/>
      <family val="2"/>
    </font>
    <font>
      <sz val="10"/>
      <name val="Arial"/>
      <family val="2"/>
    </font>
    <font>
      <sz val="11"/>
      <color rgb="FF242424"/>
      <name val="Aptos Narrow"/>
      <charset val="1"/>
    </font>
    <font>
      <sz val="11"/>
      <color rgb="FFFF0000"/>
      <name val="Aptos Narrow"/>
      <family val="2"/>
      <scheme val="minor"/>
    </font>
    <font>
      <i/>
      <sz val="11"/>
      <color rgb="FFFF0000"/>
      <name val="Aptos Narrow"/>
      <scheme val="minor"/>
    </font>
    <font>
      <sz val="11"/>
      <name val="Aptos Narrow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sz val="11"/>
      <name val="Aptos Narrow"/>
      <family val="2"/>
      <scheme val="minor"/>
    </font>
    <font>
      <b/>
      <sz val="11"/>
      <color rgb="FF000000"/>
      <name val="Aptos Narrow"/>
      <scheme val="minor"/>
    </font>
    <font>
      <i/>
      <sz val="11"/>
      <name val="Aptos Narrow"/>
      <scheme val="minor"/>
    </font>
    <font>
      <sz val="11"/>
      <color theme="1"/>
      <name val="Aptos Narrow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9"/>
      <color theme="1" tint="0.499984740745262"/>
      <name val="Aptos Display"/>
      <family val="2"/>
      <scheme val="major"/>
    </font>
    <font>
      <sz val="28"/>
      <color theme="0" tint="-0.24994659260841701"/>
      <name val="Aptos Display"/>
      <family val="2"/>
      <scheme val="major"/>
    </font>
    <font>
      <sz val="11"/>
      <color theme="1"/>
      <name val="Aptos Narrow"/>
      <family val="1"/>
      <scheme val="minor"/>
    </font>
    <font>
      <sz val="11"/>
      <color rgb="FFFF0000"/>
      <name val="Aptos Narrow"/>
      <scheme val="minor"/>
    </font>
    <font>
      <vertAlign val="superscript"/>
      <sz val="11"/>
      <name val="Aptos Narrow"/>
      <scheme val="minor"/>
    </font>
    <font>
      <sz val="8"/>
      <name val="Aptos Narrow"/>
      <family val="2"/>
      <scheme val="minor"/>
    </font>
    <font>
      <b/>
      <sz val="11"/>
      <color theme="0" tint="-0.499984740745262"/>
      <name val="Aptos Narrow"/>
      <scheme val="minor"/>
    </font>
    <font>
      <sz val="9"/>
      <color theme="1"/>
      <name val="Aptos Narrow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1"/>
      <color theme="0" tint="-0.249977111117893"/>
      <name val="Aptos Narrow"/>
      <family val="2"/>
      <scheme val="minor"/>
    </font>
    <font>
      <b/>
      <sz val="11"/>
      <name val="Aptos Narrow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theme="0" tint="-0.14996795556505021"/>
      </bottom>
      <diagonal/>
    </border>
  </borders>
  <cellStyleXfs count="142">
    <xf numFmtId="0" fontId="0" fillId="0" borderId="0"/>
    <xf numFmtId="9" fontId="17" fillId="0" borderId="0" applyFont="0" applyFill="0" applyBorder="0" applyAlignment="0" applyProtection="0"/>
    <xf numFmtId="0" fontId="25" fillId="0" borderId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4" borderId="0" applyNumberFormat="0" applyBorder="0" applyAlignment="0" applyProtection="0"/>
    <xf numFmtId="0" fontId="26" fillId="17" borderId="0" applyNumberFormat="0" applyBorder="0" applyAlignment="0" applyProtection="0"/>
    <xf numFmtId="0" fontId="26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8" fillId="25" borderId="5" applyNumberFormat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9" borderId="0" applyNumberFormat="0" applyBorder="0" applyAlignment="0" applyProtection="0"/>
    <xf numFmtId="171" fontId="7" fillId="0" borderId="0" applyFont="0" applyFill="0" applyBorder="0" applyAlignment="0" applyProtection="0"/>
    <xf numFmtId="0" fontId="29" fillId="12" borderId="0" applyNumberFormat="0" applyBorder="0" applyAlignment="0" applyProtection="0"/>
    <xf numFmtId="0" fontId="30" fillId="30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1" fillId="25" borderId="6" applyNumberFormat="0" applyAlignment="0" applyProtection="0"/>
    <xf numFmtId="38" fontId="3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7" applyNumberFormat="0" applyFill="0" applyAlignment="0" applyProtection="0"/>
    <xf numFmtId="0" fontId="36" fillId="0" borderId="8" applyNumberFormat="0" applyFill="0" applyAlignment="0" applyProtection="0"/>
    <xf numFmtId="0" fontId="37" fillId="0" borderId="9" applyNumberFormat="0" applyFill="0" applyAlignment="0" applyProtection="0"/>
    <xf numFmtId="0" fontId="37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21" fillId="5" borderId="0" applyNumberFormat="0" applyBorder="0" applyAlignment="0" applyProtection="0"/>
    <xf numFmtId="0" fontId="22" fillId="6" borderId="1" applyNumberFormat="0" applyAlignment="0" applyProtection="0"/>
    <xf numFmtId="0" fontId="23" fillId="0" borderId="2" applyNumberFormat="0" applyFill="0" applyAlignment="0" applyProtection="0"/>
    <xf numFmtId="0" fontId="24" fillId="7" borderId="3" applyNumberFormat="0" applyAlignment="0" applyProtection="0"/>
    <xf numFmtId="0" fontId="9" fillId="0" borderId="0" applyNumberFormat="0" applyFill="0" applyBorder="0" applyAlignment="0" applyProtection="0"/>
    <xf numFmtId="0" fontId="7" fillId="8" borderId="4" applyNumberFormat="0" applyFont="0" applyAlignment="0" applyProtection="0"/>
    <xf numFmtId="0" fontId="38" fillId="0" borderId="0">
      <alignment vertical="center"/>
    </xf>
    <xf numFmtId="0" fontId="39" fillId="0" borderId="10" applyNumberFormat="0" applyProtection="0">
      <alignment vertical="center"/>
    </xf>
    <xf numFmtId="0" fontId="40" fillId="0" borderId="0">
      <alignment wrapText="1"/>
    </xf>
    <xf numFmtId="0" fontId="17" fillId="10" borderId="0" applyNumberFormat="0" applyBorder="0" applyAlignment="0" applyProtection="0"/>
    <xf numFmtId="0" fontId="17" fillId="9" borderId="0" applyNumberFormat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70" fontId="7" fillId="0" borderId="0" applyFont="0" applyFill="0" applyBorder="0" applyAlignment="0" applyProtection="0"/>
    <xf numFmtId="44" fontId="1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43" fontId="7" fillId="0" borderId="0" applyFont="0" applyFill="0" applyBorder="0" applyAlignment="0" applyProtection="0"/>
    <xf numFmtId="0" fontId="21" fillId="5" borderId="0" applyNumberFormat="0" applyBorder="0" applyAlignment="0" applyProtection="0"/>
    <xf numFmtId="0" fontId="22" fillId="6" borderId="1" applyNumberFormat="0" applyAlignment="0" applyProtection="0"/>
    <xf numFmtId="0" fontId="23" fillId="0" borderId="2" applyNumberFormat="0" applyFill="0" applyAlignment="0" applyProtection="0"/>
    <xf numFmtId="0" fontId="24" fillId="7" borderId="3" applyNumberFormat="0" applyAlignment="0" applyProtection="0"/>
    <xf numFmtId="0" fontId="9" fillId="0" borderId="0" applyNumberFormat="0" applyFill="0" applyBorder="0" applyAlignment="0" applyProtection="0"/>
    <xf numFmtId="0" fontId="7" fillId="8" borderId="4" applyNumberFormat="0" applyFont="0" applyAlignment="0" applyProtection="0"/>
    <xf numFmtId="44" fontId="17" fillId="0" borderId="0" applyFont="0" applyFill="0" applyBorder="0" applyAlignment="0" applyProtection="0"/>
    <xf numFmtId="0" fontId="17" fillId="10" borderId="0" applyNumberFormat="0" applyBorder="0" applyAlignment="0" applyProtection="0"/>
    <xf numFmtId="0" fontId="17" fillId="9" borderId="0" applyNumberFormat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0" fontId="17" fillId="0" borderId="0"/>
    <xf numFmtId="43" fontId="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1" fillId="5" borderId="0" applyNumberFormat="0" applyBorder="0" applyAlignment="0" applyProtection="0"/>
    <xf numFmtId="0" fontId="22" fillId="6" borderId="1" applyNumberFormat="0" applyAlignment="0" applyProtection="0"/>
    <xf numFmtId="0" fontId="23" fillId="0" borderId="2" applyNumberFormat="0" applyFill="0" applyAlignment="0" applyProtection="0"/>
    <xf numFmtId="0" fontId="24" fillId="7" borderId="3" applyNumberFormat="0" applyAlignment="0" applyProtection="0"/>
    <xf numFmtId="0" fontId="9" fillId="0" borderId="0" applyNumberFormat="0" applyFill="0" applyBorder="0" applyAlignment="0" applyProtection="0"/>
    <xf numFmtId="0" fontId="7" fillId="8" borderId="4" applyNumberFormat="0" applyFont="0" applyAlignment="0" applyProtection="0"/>
    <xf numFmtId="0" fontId="21" fillId="5" borderId="0" applyNumberFormat="0" applyBorder="0" applyAlignment="0" applyProtection="0"/>
    <xf numFmtId="0" fontId="22" fillId="6" borderId="1" applyNumberFormat="0" applyAlignment="0" applyProtection="0"/>
    <xf numFmtId="0" fontId="23" fillId="0" borderId="2" applyNumberFormat="0" applyFill="0" applyAlignment="0" applyProtection="0"/>
    <xf numFmtId="0" fontId="24" fillId="7" borderId="3" applyNumberFormat="0" applyAlignment="0" applyProtection="0"/>
    <xf numFmtId="0" fontId="9" fillId="0" borderId="0" applyNumberFormat="0" applyFill="0" applyBorder="0" applyAlignment="0" applyProtection="0"/>
    <xf numFmtId="0" fontId="7" fillId="8" borderId="4" applyNumberFormat="0" applyFont="0" applyAlignment="0" applyProtection="0"/>
  </cellStyleXfs>
  <cellXfs count="88">
    <xf numFmtId="0" fontId="0" fillId="0" borderId="0" xfId="0"/>
    <xf numFmtId="17" fontId="0" fillId="0" borderId="0" xfId="0" applyNumberFormat="1"/>
    <xf numFmtId="9" fontId="0" fillId="0" borderId="0" xfId="0" applyNumberFormat="1"/>
    <xf numFmtId="3" fontId="0" fillId="0" borderId="0" xfId="0" applyNumberFormat="1"/>
    <xf numFmtId="10" fontId="0" fillId="0" borderId="0" xfId="0" applyNumberFormat="1"/>
    <xf numFmtId="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0" fillId="2" borderId="0" xfId="0" applyFill="1"/>
    <xf numFmtId="0" fontId="0" fillId="3" borderId="0" xfId="0" applyFill="1"/>
    <xf numFmtId="2" fontId="0" fillId="0" borderId="0" xfId="0" applyNumberFormat="1"/>
    <xf numFmtId="43" fontId="0" fillId="0" borderId="0" xfId="0" applyNumberFormat="1"/>
    <xf numFmtId="165" fontId="0" fillId="0" borderId="0" xfId="0" applyNumberFormat="1"/>
    <xf numFmtId="165" fontId="1" fillId="0" borderId="0" xfId="0" applyNumberFormat="1" applyFont="1"/>
    <xf numFmtId="0" fontId="4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/>
    <xf numFmtId="4" fontId="2" fillId="0" borderId="0" xfId="0" applyNumberFormat="1" applyFont="1"/>
    <xf numFmtId="10" fontId="3" fillId="0" borderId="0" xfId="0" applyNumberFormat="1" applyFont="1"/>
    <xf numFmtId="43" fontId="1" fillId="0" borderId="0" xfId="0" applyNumberFormat="1" applyFont="1"/>
    <xf numFmtId="14" fontId="0" fillId="0" borderId="0" xfId="0" applyNumberFormat="1"/>
    <xf numFmtId="164" fontId="0" fillId="0" borderId="0" xfId="0" applyNumberFormat="1"/>
    <xf numFmtId="0" fontId="7" fillId="0" borderId="0" xfId="0" applyFont="1"/>
    <xf numFmtId="166" fontId="0" fillId="0" borderId="0" xfId="0" applyNumberFormat="1"/>
    <xf numFmtId="0" fontId="8" fillId="0" borderId="0" xfId="0" applyFont="1"/>
    <xf numFmtId="9" fontId="0" fillId="0" borderId="0" xfId="0" applyNumberFormat="1" applyAlignment="1">
      <alignment wrapText="1"/>
    </xf>
    <xf numFmtId="0" fontId="10" fillId="0" borderId="0" xfId="0" applyFont="1"/>
    <xf numFmtId="167" fontId="0" fillId="0" borderId="0" xfId="0" applyNumberFormat="1"/>
    <xf numFmtId="10" fontId="11" fillId="0" borderId="0" xfId="0" applyNumberFormat="1" applyFont="1"/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/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wrapText="1"/>
    </xf>
    <xf numFmtId="3" fontId="12" fillId="0" borderId="0" xfId="0" applyNumberFormat="1" applyFont="1"/>
    <xf numFmtId="17" fontId="12" fillId="0" borderId="0" xfId="0" applyNumberFormat="1" applyFont="1"/>
    <xf numFmtId="0" fontId="14" fillId="0" borderId="0" xfId="0" applyFont="1"/>
    <xf numFmtId="43" fontId="12" fillId="0" borderId="0" xfId="0" applyNumberFormat="1" applyFont="1"/>
    <xf numFmtId="0" fontId="0" fillId="0" borderId="0" xfId="0" applyAlignment="1">
      <alignment horizontal="right"/>
    </xf>
    <xf numFmtId="168" fontId="0" fillId="0" borderId="0" xfId="0" applyNumberFormat="1"/>
    <xf numFmtId="164" fontId="12" fillId="0" borderId="0" xfId="0" applyNumberFormat="1" applyFont="1"/>
    <xf numFmtId="0" fontId="15" fillId="0" borderId="0" xfId="0" applyFont="1"/>
    <xf numFmtId="164" fontId="12" fillId="0" borderId="0" xfId="0" applyNumberFormat="1" applyFont="1" applyAlignment="1">
      <alignment wrapText="1"/>
    </xf>
    <xf numFmtId="168" fontId="12" fillId="0" borderId="0" xfId="0" applyNumberFormat="1" applyFont="1"/>
    <xf numFmtId="0" fontId="16" fillId="0" borderId="0" xfId="0" applyFont="1"/>
    <xf numFmtId="164" fontId="14" fillId="0" borderId="0" xfId="0" applyNumberFormat="1" applyFont="1"/>
    <xf numFmtId="0" fontId="12" fillId="2" borderId="0" xfId="0" applyFont="1" applyFill="1"/>
    <xf numFmtId="17" fontId="12" fillId="2" borderId="0" xfId="0" applyNumberFormat="1" applyFont="1" applyFill="1"/>
    <xf numFmtId="3" fontId="1" fillId="0" borderId="0" xfId="0" applyNumberFormat="1" applyFont="1"/>
    <xf numFmtId="0" fontId="1" fillId="0" borderId="0" xfId="0" applyFont="1" applyAlignment="1">
      <alignment horizontal="center" wrapText="1"/>
    </xf>
    <xf numFmtId="169" fontId="0" fillId="0" borderId="0" xfId="1" applyNumberFormat="1" applyFont="1"/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167" fontId="14" fillId="0" borderId="0" xfId="0" applyNumberFormat="1" applyFont="1"/>
    <xf numFmtId="17" fontId="0" fillId="4" borderId="0" xfId="0" applyNumberFormat="1" applyFill="1"/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17" fontId="0" fillId="0" borderId="0" xfId="0" applyNumberFormat="1" applyAlignment="1">
      <alignment horizontal="right"/>
    </xf>
    <xf numFmtId="17" fontId="0" fillId="4" borderId="0" xfId="0" applyNumberFormat="1" applyFill="1" applyAlignment="1">
      <alignment horizontal="right"/>
    </xf>
    <xf numFmtId="0" fontId="20" fillId="0" borderId="0" xfId="0" applyFont="1" applyAlignment="1">
      <alignment horizontal="center" wrapText="1"/>
    </xf>
    <xf numFmtId="14" fontId="0" fillId="0" borderId="0" xfId="0" applyNumberFormat="1" applyAlignment="1">
      <alignment horizontal="center"/>
    </xf>
    <xf numFmtId="164" fontId="1" fillId="0" borderId="0" xfId="0" applyNumberFormat="1" applyFont="1"/>
    <xf numFmtId="10" fontId="0" fillId="0" borderId="0" xfId="1" applyNumberFormat="1" applyFont="1"/>
    <xf numFmtId="0" fontId="41" fillId="0" borderId="0" xfId="0" applyFont="1"/>
    <xf numFmtId="0" fontId="11" fillId="0" borderId="0" xfId="0" applyFont="1"/>
    <xf numFmtId="164" fontId="11" fillId="0" borderId="0" xfId="0" applyNumberFormat="1" applyFont="1"/>
    <xf numFmtId="17" fontId="12" fillId="31" borderId="0" xfId="0" applyNumberFormat="1" applyFont="1" applyFill="1"/>
    <xf numFmtId="0" fontId="11" fillId="0" borderId="0" xfId="0" applyFont="1" applyAlignment="1">
      <alignment horizontal="right"/>
    </xf>
    <xf numFmtId="43" fontId="11" fillId="0" borderId="0" xfId="0" applyNumberFormat="1" applyFont="1"/>
    <xf numFmtId="172" fontId="0" fillId="0" borderId="0" xfId="1" applyNumberFormat="1" applyFont="1"/>
    <xf numFmtId="43" fontId="0" fillId="32" borderId="0" xfId="0" applyNumberFormat="1" applyFill="1"/>
    <xf numFmtId="0" fontId="1" fillId="33" borderId="0" xfId="0" applyFont="1" applyFill="1" applyAlignment="1">
      <alignment horizontal="center" wrapText="1"/>
    </xf>
    <xf numFmtId="3" fontId="14" fillId="0" borderId="0" xfId="0" applyNumberFormat="1" applyFont="1"/>
    <xf numFmtId="164" fontId="0" fillId="0" borderId="0" xfId="1" applyNumberFormat="1" applyFont="1"/>
    <xf numFmtId="14" fontId="14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169" fontId="13" fillId="0" borderId="0" xfId="1" applyNumberFormat="1" applyFont="1"/>
    <xf numFmtId="169" fontId="14" fillId="0" borderId="0" xfId="1" applyNumberFormat="1" applyFont="1"/>
    <xf numFmtId="17" fontId="44" fillId="34" borderId="0" xfId="0" applyNumberFormat="1" applyFont="1" applyFill="1"/>
    <xf numFmtId="173" fontId="45" fillId="0" borderId="0" xfId="0" applyNumberFormat="1" applyFont="1"/>
    <xf numFmtId="3" fontId="48" fillId="0" borderId="0" xfId="0" applyNumberFormat="1" applyFont="1"/>
    <xf numFmtId="167" fontId="11" fillId="0" borderId="0" xfId="0" applyNumberFormat="1" applyFont="1"/>
    <xf numFmtId="168" fontId="12" fillId="33" borderId="0" xfId="0" applyNumberFormat="1" applyFont="1" applyFill="1"/>
    <xf numFmtId="164" fontId="49" fillId="33" borderId="0" xfId="0" applyNumberFormat="1" applyFont="1" applyFill="1"/>
  </cellXfs>
  <cellStyles count="142">
    <cellStyle name="20% - Ênfase1 2" xfId="3" xr:uid="{00000000-0005-0000-0000-000000000000}"/>
    <cellStyle name="20% - Ênfase2 2" xfId="4" xr:uid="{00000000-0005-0000-0000-000001000000}"/>
    <cellStyle name="20% - Ênfase3 2" xfId="56" xr:uid="{00000000-0005-0000-0000-000002000000}"/>
    <cellStyle name="20% - Ênfase3 2 2" xfId="88" xr:uid="{00000000-0005-0000-0000-000003000000}"/>
    <cellStyle name="20% - Ênfase3 3" xfId="5" xr:uid="{00000000-0005-0000-0000-000004000000}"/>
    <cellStyle name="20% - Ênfase4 2" xfId="55" xr:uid="{00000000-0005-0000-0000-000005000000}"/>
    <cellStyle name="20% - Ênfase4 2 2" xfId="87" xr:uid="{00000000-0005-0000-0000-000006000000}"/>
    <cellStyle name="20% - Ênfase4 3" xfId="6" xr:uid="{00000000-0005-0000-0000-000007000000}"/>
    <cellStyle name="20% - Ênfase5 2" xfId="7" xr:uid="{00000000-0005-0000-0000-000008000000}"/>
    <cellStyle name="20% - Ênfase6 2" xfId="8" xr:uid="{00000000-0005-0000-0000-000009000000}"/>
    <cellStyle name="40% - Ênfase1 2" xfId="9" xr:uid="{00000000-0005-0000-0000-00000A000000}"/>
    <cellStyle name="40% - Ênfase2 2" xfId="10" xr:uid="{00000000-0005-0000-0000-00000B000000}"/>
    <cellStyle name="40% - Ênfase3 2" xfId="11" xr:uid="{00000000-0005-0000-0000-00000C000000}"/>
    <cellStyle name="40% - Ênfase4 2" xfId="12" xr:uid="{00000000-0005-0000-0000-00000D000000}"/>
    <cellStyle name="40% - Ênfase5 2" xfId="13" xr:uid="{00000000-0005-0000-0000-00000E000000}"/>
    <cellStyle name="40% - Ênfase6 2" xfId="14" xr:uid="{00000000-0005-0000-0000-00000F000000}"/>
    <cellStyle name="60% - Ênfase1 2" xfId="15" xr:uid="{00000000-0005-0000-0000-000010000000}"/>
    <cellStyle name="60% - Ênfase2 2" xfId="16" xr:uid="{00000000-0005-0000-0000-000011000000}"/>
    <cellStyle name="60% - Ênfase3 2" xfId="17" xr:uid="{00000000-0005-0000-0000-000012000000}"/>
    <cellStyle name="60% - Ênfase4 2" xfId="18" xr:uid="{00000000-0005-0000-0000-000013000000}"/>
    <cellStyle name="60% - Ênfase5 2" xfId="19" xr:uid="{00000000-0005-0000-0000-000014000000}"/>
    <cellStyle name="60% - Ênfase6 2" xfId="20" xr:uid="{00000000-0005-0000-0000-000015000000}"/>
    <cellStyle name="Bom 2" xfId="80" hidden="1" xr:uid="{00000000-0005-0000-0000-000016000000}"/>
    <cellStyle name="Bom 2" xfId="46" hidden="1" xr:uid="{00000000-0005-0000-0000-000017000000}"/>
    <cellStyle name="Bom 2" xfId="136" hidden="1" xr:uid="{00000000-0005-0000-0000-000018000000}"/>
    <cellStyle name="Bom 2" xfId="130" hidden="1" xr:uid="{00000000-0005-0000-0000-000019000000}"/>
    <cellStyle name="Cálculo 2" xfId="21" xr:uid="{00000000-0005-0000-0000-00001A000000}"/>
    <cellStyle name="Célula de Verificação 2" xfId="83" hidden="1" xr:uid="{00000000-0005-0000-0000-00001B000000}"/>
    <cellStyle name="Célula de Verificação 2" xfId="49" hidden="1" xr:uid="{00000000-0005-0000-0000-00001C000000}"/>
    <cellStyle name="Célula de Verificação 2" xfId="139" hidden="1" xr:uid="{00000000-0005-0000-0000-00001D000000}"/>
    <cellStyle name="Célula de Verificação 2" xfId="133" hidden="1" xr:uid="{00000000-0005-0000-0000-00001E000000}"/>
    <cellStyle name="Célula Vinculada 2" xfId="82" hidden="1" xr:uid="{00000000-0005-0000-0000-00001F000000}"/>
    <cellStyle name="Célula Vinculada 2" xfId="48" hidden="1" xr:uid="{00000000-0005-0000-0000-000020000000}"/>
    <cellStyle name="Célula Vinculada 2" xfId="138" hidden="1" xr:uid="{00000000-0005-0000-0000-000021000000}"/>
    <cellStyle name="Célula Vinculada 2" xfId="132" hidden="1" xr:uid="{00000000-0005-0000-0000-000022000000}"/>
    <cellStyle name="Comma 2" xfId="74" xr:uid="{00000000-0005-0000-0000-000023000000}"/>
    <cellStyle name="Comma 2 2" xfId="104" xr:uid="{00000000-0005-0000-0000-000024000000}"/>
    <cellStyle name="Currency 2" xfId="71" xr:uid="{00000000-0005-0000-0000-000025000000}"/>
    <cellStyle name="Currency 3" xfId="114" xr:uid="{00000000-0005-0000-0000-000026000000}"/>
    <cellStyle name="Currency 4" xfId="117" xr:uid="{00000000-0005-0000-0000-000027000000}"/>
    <cellStyle name="Currency 4 2" xfId="120" xr:uid="{00000000-0005-0000-0000-000028000000}"/>
    <cellStyle name="Currency 5" xfId="129" xr:uid="{00000000-0005-0000-0000-000029000000}"/>
    <cellStyle name="Ênfase1 2" xfId="24" xr:uid="{00000000-0005-0000-0000-00002A000000}"/>
    <cellStyle name="Ênfase2 2" xfId="25" xr:uid="{00000000-0005-0000-0000-00002B000000}"/>
    <cellStyle name="Ênfase3 2" xfId="26" xr:uid="{00000000-0005-0000-0000-00002C000000}"/>
    <cellStyle name="Ênfase4 2" xfId="27" xr:uid="{00000000-0005-0000-0000-00002D000000}"/>
    <cellStyle name="Ênfase5 2" xfId="28" xr:uid="{00000000-0005-0000-0000-00002E000000}"/>
    <cellStyle name="Ênfase6 2" xfId="29" xr:uid="{00000000-0005-0000-0000-00002F000000}"/>
    <cellStyle name="Entrada 2" xfId="81" hidden="1" xr:uid="{00000000-0005-0000-0000-000030000000}"/>
    <cellStyle name="Entrada 2" xfId="47" hidden="1" xr:uid="{00000000-0005-0000-0000-000031000000}"/>
    <cellStyle name="Entrada 2" xfId="137" hidden="1" xr:uid="{00000000-0005-0000-0000-000032000000}"/>
    <cellStyle name="Entrada 2" xfId="131" hidden="1" xr:uid="{00000000-0005-0000-0000-000033000000}"/>
    <cellStyle name="Euro" xfId="30" xr:uid="{00000000-0005-0000-0000-000034000000}"/>
    <cellStyle name="Incorreto" xfId="31" xr:uid="{00000000-0005-0000-0000-000035000000}"/>
    <cellStyle name="Moeda 2" xfId="72" xr:uid="{00000000-0005-0000-0000-000036000000}"/>
    <cellStyle name="Moeda 2 2" xfId="103" xr:uid="{00000000-0005-0000-0000-000037000000}"/>
    <cellStyle name="Moeda 3" xfId="86" xr:uid="{00000000-0005-0000-0000-000038000000}"/>
    <cellStyle name="Moeda 3 2" xfId="110" xr:uid="{00000000-0005-0000-0000-000039000000}"/>
    <cellStyle name="Moeda 4" xfId="23" xr:uid="{00000000-0005-0000-0000-00003A000000}"/>
    <cellStyle name="Neutra" xfId="32" xr:uid="{00000000-0005-0000-0000-00003B000000}"/>
    <cellStyle name="Normal" xfId="0" builtinId="0"/>
    <cellStyle name="Normal 10" xfId="68" xr:uid="{00000000-0005-0000-0000-00003D000000}"/>
    <cellStyle name="Normal 10 2" xfId="100" xr:uid="{00000000-0005-0000-0000-00003E000000}"/>
    <cellStyle name="Normal 10 2 2" xfId="108" xr:uid="{00000000-0005-0000-0000-00003F000000}"/>
    <cellStyle name="Normal 10 2 2 2" xfId="121" xr:uid="{00000000-0005-0000-0000-000040000000}"/>
    <cellStyle name="Normal 11" xfId="65" xr:uid="{00000000-0005-0000-0000-000041000000}"/>
    <cellStyle name="Normal 11 2" xfId="97" xr:uid="{00000000-0005-0000-0000-000042000000}"/>
    <cellStyle name="Normal 12" xfId="75" xr:uid="{00000000-0005-0000-0000-000043000000}"/>
    <cellStyle name="Normal 12 2" xfId="105" xr:uid="{00000000-0005-0000-0000-000044000000}"/>
    <cellStyle name="Normal 13" xfId="76" xr:uid="{00000000-0005-0000-0000-000045000000}"/>
    <cellStyle name="Normal 13 2" xfId="106" xr:uid="{00000000-0005-0000-0000-000046000000}"/>
    <cellStyle name="Normal 14" xfId="112" xr:uid="{00000000-0005-0000-0000-000047000000}"/>
    <cellStyle name="Normal 14 2" xfId="66" xr:uid="{00000000-0005-0000-0000-000048000000}"/>
    <cellStyle name="Normal 14 2 2" xfId="98" xr:uid="{00000000-0005-0000-0000-000049000000}"/>
    <cellStyle name="Normal 14 2 3" xfId="122" xr:uid="{00000000-0005-0000-0000-00004A000000}"/>
    <cellStyle name="Normal 14 2 7" xfId="78" xr:uid="{00000000-0005-0000-0000-00004B000000}"/>
    <cellStyle name="Normal 14 2 7 2" xfId="111" xr:uid="{00000000-0005-0000-0000-00004C000000}"/>
    <cellStyle name="Normal 15" xfId="115" xr:uid="{00000000-0005-0000-0000-00004D000000}"/>
    <cellStyle name="Normal 15 2" xfId="118" xr:uid="{00000000-0005-0000-0000-00004E000000}"/>
    <cellStyle name="Normal 16" xfId="125" xr:uid="{00000000-0005-0000-0000-00004F000000}"/>
    <cellStyle name="Normal 17" xfId="127" xr:uid="{00000000-0005-0000-0000-000050000000}"/>
    <cellStyle name="Normal 18" xfId="2" xr:uid="{00000000-0005-0000-0000-000051000000}"/>
    <cellStyle name="Normal 2" xfId="33" xr:uid="{00000000-0005-0000-0000-000052000000}"/>
    <cellStyle name="Normal 2 2" xfId="34" xr:uid="{00000000-0005-0000-0000-000053000000}"/>
    <cellStyle name="Normal 2 3" xfId="52" xr:uid="{00000000-0005-0000-0000-000054000000}"/>
    <cellStyle name="Normal 3" xfId="35" xr:uid="{00000000-0005-0000-0000-000055000000}"/>
    <cellStyle name="Normal 4" xfId="54" xr:uid="{00000000-0005-0000-0000-000056000000}"/>
    <cellStyle name="Normal 5" xfId="57" xr:uid="{00000000-0005-0000-0000-000057000000}"/>
    <cellStyle name="Normal 5 2" xfId="89" xr:uid="{00000000-0005-0000-0000-000058000000}"/>
    <cellStyle name="Normal 6" xfId="59" xr:uid="{00000000-0005-0000-0000-000059000000}"/>
    <cellStyle name="Normal 6 2" xfId="91" xr:uid="{00000000-0005-0000-0000-00005A000000}"/>
    <cellStyle name="Normal 7" xfId="61" xr:uid="{00000000-0005-0000-0000-00005B000000}"/>
    <cellStyle name="Normal 7 2" xfId="93" xr:uid="{00000000-0005-0000-0000-00005C000000}"/>
    <cellStyle name="Normal 8" xfId="62" xr:uid="{00000000-0005-0000-0000-00005D000000}"/>
    <cellStyle name="Normal 8 2" xfId="94" xr:uid="{00000000-0005-0000-0000-00005E000000}"/>
    <cellStyle name="Normal 9" xfId="63" xr:uid="{00000000-0005-0000-0000-00005F000000}"/>
    <cellStyle name="Normal 9 2" xfId="95" xr:uid="{00000000-0005-0000-0000-000060000000}"/>
    <cellStyle name="Nota 2" xfId="85" hidden="1" xr:uid="{00000000-0005-0000-0000-000061000000}"/>
    <cellStyle name="Nota 2" xfId="51" hidden="1" xr:uid="{00000000-0005-0000-0000-000062000000}"/>
    <cellStyle name="Nota 2" xfId="141" hidden="1" xr:uid="{00000000-0005-0000-0000-000063000000}"/>
    <cellStyle name="Nota 2" xfId="135" hidden="1" xr:uid="{00000000-0005-0000-0000-000064000000}"/>
    <cellStyle name="Percent 2" xfId="73" xr:uid="{00000000-0005-0000-0000-000065000000}"/>
    <cellStyle name="Percent 3" xfId="113" xr:uid="{00000000-0005-0000-0000-000066000000}"/>
    <cellStyle name="Percent 4" xfId="116" xr:uid="{00000000-0005-0000-0000-000067000000}"/>
    <cellStyle name="Percent 4 2" xfId="119" xr:uid="{00000000-0005-0000-0000-000068000000}"/>
    <cellStyle name="Percent 5" xfId="128" xr:uid="{00000000-0005-0000-0000-000069000000}"/>
    <cellStyle name="Porcentagem" xfId="1" builtinId="5"/>
    <cellStyle name="Porcentagem 2" xfId="67" xr:uid="{00000000-0005-0000-0000-00006B000000}"/>
    <cellStyle name="Porcentagem 2 2" xfId="99" xr:uid="{00000000-0005-0000-0000-00006C000000}"/>
    <cellStyle name="Porcentagem 2 2 2" xfId="109" xr:uid="{00000000-0005-0000-0000-00006D000000}"/>
    <cellStyle name="Porcentagem 2 3" xfId="124" xr:uid="{00000000-0005-0000-0000-00006E000000}"/>
    <cellStyle name="Porcentagem 3" xfId="70" xr:uid="{00000000-0005-0000-0000-00006F000000}"/>
    <cellStyle name="Porcentagem 3 2" xfId="77" xr:uid="{00000000-0005-0000-0000-000070000000}"/>
    <cellStyle name="Porcentagem 3 2 2" xfId="107" xr:uid="{00000000-0005-0000-0000-000071000000}"/>
    <cellStyle name="Porcentagem 3 3" xfId="102" xr:uid="{00000000-0005-0000-0000-000072000000}"/>
    <cellStyle name="Porcentagem 3 4" xfId="126" xr:uid="{00000000-0005-0000-0000-000073000000}"/>
    <cellStyle name="Porcentagem 4" xfId="36" xr:uid="{00000000-0005-0000-0000-000074000000}"/>
    <cellStyle name="Saída 2" xfId="37" xr:uid="{00000000-0005-0000-0000-000075000000}"/>
    <cellStyle name="Sep. milhar [0]" xfId="38" xr:uid="{00000000-0005-0000-0000-000076000000}"/>
    <cellStyle name="Texto de Aviso 2" xfId="84" hidden="1" xr:uid="{00000000-0005-0000-0000-000077000000}"/>
    <cellStyle name="Texto de Aviso 2" xfId="50" hidden="1" xr:uid="{00000000-0005-0000-0000-000078000000}"/>
    <cellStyle name="Texto de Aviso 2" xfId="140" hidden="1" xr:uid="{00000000-0005-0000-0000-000079000000}"/>
    <cellStyle name="Texto de Aviso 2" xfId="134" hidden="1" xr:uid="{00000000-0005-0000-0000-00007A000000}"/>
    <cellStyle name="Texto Explicativo 2" xfId="39" xr:uid="{00000000-0005-0000-0000-00007B000000}"/>
    <cellStyle name="Título 1 2" xfId="53" xr:uid="{00000000-0005-0000-0000-00007C000000}"/>
    <cellStyle name="Título 1 3" xfId="41" xr:uid="{00000000-0005-0000-0000-00007D000000}"/>
    <cellStyle name="Título 2 2" xfId="42" xr:uid="{00000000-0005-0000-0000-00007E000000}"/>
    <cellStyle name="Título 3 2" xfId="43" xr:uid="{00000000-0005-0000-0000-00007F000000}"/>
    <cellStyle name="Título 4 2" xfId="44" xr:uid="{00000000-0005-0000-0000-000080000000}"/>
    <cellStyle name="Título 5" xfId="40" xr:uid="{00000000-0005-0000-0000-000081000000}"/>
    <cellStyle name="Vírgula 2" xfId="45" xr:uid="{00000000-0005-0000-0000-000082000000}"/>
    <cellStyle name="Vírgula 2 2" xfId="79" xr:uid="{00000000-0005-0000-0000-000083000000}"/>
    <cellStyle name="Vírgula 2 3" xfId="123" xr:uid="{00000000-0005-0000-0000-000084000000}"/>
    <cellStyle name="Vírgula 3" xfId="58" xr:uid="{00000000-0005-0000-0000-000085000000}"/>
    <cellStyle name="Vírgula 3 2" xfId="90" xr:uid="{00000000-0005-0000-0000-000086000000}"/>
    <cellStyle name="Vírgula 4" xfId="60" xr:uid="{00000000-0005-0000-0000-000087000000}"/>
    <cellStyle name="Vírgula 4 2" xfId="92" xr:uid="{00000000-0005-0000-0000-000088000000}"/>
    <cellStyle name="Vírgula 5" xfId="64" xr:uid="{00000000-0005-0000-0000-000089000000}"/>
    <cellStyle name="Vírgula 5 2" xfId="96" xr:uid="{00000000-0005-0000-0000-00008A000000}"/>
    <cellStyle name="Vírgula 6" xfId="69" xr:uid="{00000000-0005-0000-0000-00008B000000}"/>
    <cellStyle name="Vírgula 6 2" xfId="101" xr:uid="{00000000-0005-0000-0000-00008C000000}"/>
    <cellStyle name="Vírgula 7" xfId="22" xr:uid="{00000000-0005-0000-0000-00008D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</sheetPr>
  <dimension ref="A1:Z91"/>
  <sheetViews>
    <sheetView workbookViewId="0">
      <pane xSplit="3" ySplit="1" topLeftCell="J2" activePane="bottomRight" state="frozen"/>
      <selection pane="topRight" activeCell="E1" sqref="E1"/>
      <selection pane="bottomLeft" activeCell="A2" sqref="A2"/>
      <selection pane="bottomRight"/>
    </sheetView>
  </sheetViews>
  <sheetFormatPr defaultRowHeight="14.5"/>
  <cols>
    <col min="1" max="1" width="24.08984375" bestFit="1" customWidth="1"/>
    <col min="2" max="2" width="11" bestFit="1" customWidth="1"/>
    <col min="3" max="3" width="50.7265625" bestFit="1" customWidth="1"/>
    <col min="4" max="9" width="9.7265625" customWidth="1"/>
    <col min="12" max="12" width="9" bestFit="1" customWidth="1"/>
  </cols>
  <sheetData>
    <row r="1" spans="1:26">
      <c r="B1" s="34" t="s">
        <v>0</v>
      </c>
      <c r="C1" s="34" t="s">
        <v>1</v>
      </c>
      <c r="D1" s="38">
        <v>45627</v>
      </c>
      <c r="E1" s="38">
        <v>45658</v>
      </c>
      <c r="F1" s="38">
        <v>45689</v>
      </c>
      <c r="G1" s="38">
        <v>45717</v>
      </c>
      <c r="H1" s="38">
        <v>45748</v>
      </c>
      <c r="I1" s="38">
        <v>45778</v>
      </c>
      <c r="J1" s="38">
        <v>45809</v>
      </c>
      <c r="K1" s="38">
        <v>45839</v>
      </c>
      <c r="L1" s="38">
        <v>45870</v>
      </c>
      <c r="M1" s="38">
        <v>45901</v>
      </c>
      <c r="N1" s="38">
        <v>45931</v>
      </c>
      <c r="O1" s="38">
        <v>45962</v>
      </c>
    </row>
    <row r="2" spans="1:26" s="7" customFormat="1">
      <c r="A2" t="s">
        <v>2</v>
      </c>
      <c r="C2" s="7" t="s">
        <v>3</v>
      </c>
      <c r="E2" s="1"/>
      <c r="F2" s="1"/>
      <c r="G2" s="1"/>
      <c r="H2" s="1"/>
      <c r="I2" s="1"/>
      <c r="J2" s="1"/>
    </row>
    <row r="3" spans="1:26">
      <c r="A3" t="s">
        <v>4</v>
      </c>
      <c r="B3" t="s">
        <v>5</v>
      </c>
      <c r="C3" t="s">
        <v>6</v>
      </c>
      <c r="D3" s="23">
        <f>ROUND(D6*D5*D4/D7,4)</f>
        <v>2.0514000000000001</v>
      </c>
      <c r="E3" s="23">
        <f t="shared" ref="E3" si="0">ROUND(E6*E5*E4/E7,4)</f>
        <v>2.0514000000000001</v>
      </c>
      <c r="F3" s="23">
        <f>ROUND(F6*F5*F4/F7,4)</f>
        <v>2.0304000000000002</v>
      </c>
      <c r="G3" s="23">
        <f t="shared" ref="G3:I3" si="1">ROUND(G6*G5*G4/G7,4)</f>
        <v>2.0304000000000002</v>
      </c>
      <c r="H3" s="23">
        <f t="shared" si="1"/>
        <v>2.0304000000000002</v>
      </c>
      <c r="I3" s="23">
        <f t="shared" si="1"/>
        <v>2.0623</v>
      </c>
      <c r="J3" s="23">
        <f t="shared" ref="J3:K3" si="2">ROUND(J6*J5*J4/J7,4)</f>
        <v>2.0623</v>
      </c>
      <c r="K3" s="23">
        <f t="shared" si="2"/>
        <v>2.0623</v>
      </c>
      <c r="L3" s="23">
        <f>ROUND(L6*L5*L4/L7,4)</f>
        <v>1.7766</v>
      </c>
      <c r="M3" s="23">
        <f>ROUND(M6*M5*M4/M7,4)</f>
        <v>1.7766</v>
      </c>
      <c r="N3" s="23">
        <f>ROUND(N6*N5*N4/N7,4)</f>
        <v>1.7766</v>
      </c>
      <c r="O3" s="23">
        <f>ROUND(O6*O5*O4/O7,4)</f>
        <v>1.7457</v>
      </c>
    </row>
    <row r="4" spans="1:26">
      <c r="A4" t="s">
        <v>4</v>
      </c>
      <c r="B4" t="s">
        <v>7</v>
      </c>
      <c r="C4" t="s">
        <v>8</v>
      </c>
      <c r="D4" s="23">
        <f>Indicadores!M7</f>
        <v>5.5453999999999999</v>
      </c>
      <c r="E4" s="23">
        <f>Indicadores!N7</f>
        <v>5.5453999999999999</v>
      </c>
      <c r="F4" s="23">
        <f>Indicadores!O7</f>
        <v>5.8369</v>
      </c>
      <c r="G4" s="23">
        <f>Indicadores!P7</f>
        <v>5.8369</v>
      </c>
      <c r="H4" s="23">
        <f>Indicadores!Q7</f>
        <v>5.8369</v>
      </c>
      <c r="I4" s="23">
        <f>Indicadores!R7</f>
        <v>5.8521999999999998</v>
      </c>
      <c r="J4" s="23">
        <f>Indicadores!S7</f>
        <v>5.8521999999999998</v>
      </c>
      <c r="K4" s="23">
        <f>Indicadores!T7</f>
        <v>5.8521999999999998</v>
      </c>
      <c r="L4" s="23">
        <f>Indicadores!U7</f>
        <v>5.6661000000000001</v>
      </c>
      <c r="M4" s="23">
        <f>Indicadores!V7</f>
        <v>5.6661000000000001</v>
      </c>
      <c r="N4" s="23">
        <f>Indicadores!W7</f>
        <v>5.6661000000000001</v>
      </c>
      <c r="O4" s="23">
        <f>Indicadores!X7</f>
        <v>5.4488000000000003</v>
      </c>
    </row>
    <row r="5" spans="1:26">
      <c r="A5" t="s">
        <v>4</v>
      </c>
      <c r="B5" t="s">
        <v>9</v>
      </c>
      <c r="C5" t="s">
        <v>10</v>
      </c>
      <c r="D5">
        <f>Indicadores!M2</f>
        <v>78.708500000000001</v>
      </c>
      <c r="E5">
        <f>Indicadores!N2</f>
        <v>78.708500000000001</v>
      </c>
      <c r="F5">
        <f>Indicadores!O2</f>
        <v>74.012200000000007</v>
      </c>
      <c r="G5">
        <f>Indicadores!P2</f>
        <v>74.012200000000007</v>
      </c>
      <c r="H5">
        <f>Indicadores!Q2</f>
        <v>74.012200000000007</v>
      </c>
      <c r="I5">
        <f>Indicadores!R2</f>
        <v>74.977500000000006</v>
      </c>
      <c r="J5">
        <f>Indicadores!S2</f>
        <v>74.977500000000006</v>
      </c>
      <c r="K5">
        <f>Indicadores!T2</f>
        <v>74.977500000000006</v>
      </c>
      <c r="L5">
        <f>Indicadores!U2</f>
        <v>66.7119</v>
      </c>
      <c r="M5">
        <f>Indicadores!V2</f>
        <v>66.7119</v>
      </c>
      <c r="N5">
        <f>Indicadores!W2</f>
        <v>66.7119</v>
      </c>
      <c r="O5">
        <f>Indicadores!X2</f>
        <v>68.165000000000006</v>
      </c>
    </row>
    <row r="6" spans="1:26">
      <c r="A6" t="s">
        <v>4</v>
      </c>
      <c r="B6" t="s">
        <v>11</v>
      </c>
      <c r="C6" t="s">
        <v>12</v>
      </c>
      <c r="D6" s="4">
        <v>0.126</v>
      </c>
      <c r="E6" s="4">
        <v>0.126</v>
      </c>
      <c r="F6" s="4">
        <v>0.126</v>
      </c>
      <c r="G6" s="4">
        <v>0.126</v>
      </c>
      <c r="H6" s="4">
        <v>0.126</v>
      </c>
      <c r="I6" s="4">
        <v>0.126</v>
      </c>
      <c r="J6" s="4">
        <v>0.126</v>
      </c>
      <c r="K6" s="4">
        <v>0.126</v>
      </c>
      <c r="L6" s="4">
        <v>0.126</v>
      </c>
      <c r="M6" s="4">
        <v>0.126</v>
      </c>
      <c r="N6" s="4">
        <v>0.126</v>
      </c>
      <c r="O6" s="4">
        <v>0.126</v>
      </c>
      <c r="R6" s="1"/>
      <c r="S6" s="1"/>
      <c r="T6" s="1"/>
      <c r="U6" s="1"/>
      <c r="V6" s="1"/>
      <c r="W6" s="1"/>
      <c r="X6" s="1"/>
      <c r="Y6" s="1"/>
      <c r="Z6" s="1"/>
    </row>
    <row r="7" spans="1:26">
      <c r="A7" t="s">
        <v>4</v>
      </c>
      <c r="B7" t="s">
        <v>13</v>
      </c>
      <c r="C7" t="s">
        <v>14</v>
      </c>
      <c r="D7">
        <v>26.8081</v>
      </c>
      <c r="E7">
        <v>26.8081</v>
      </c>
      <c r="F7">
        <v>26.8081</v>
      </c>
      <c r="G7">
        <v>26.8081</v>
      </c>
      <c r="H7">
        <v>26.8081</v>
      </c>
      <c r="I7">
        <v>26.8081</v>
      </c>
      <c r="J7">
        <v>26.8081</v>
      </c>
      <c r="K7">
        <v>26.8081</v>
      </c>
      <c r="L7">
        <v>26.8081</v>
      </c>
      <c r="M7">
        <v>26.8081</v>
      </c>
      <c r="N7">
        <v>26.8081</v>
      </c>
      <c r="O7">
        <v>26.8081</v>
      </c>
    </row>
    <row r="8" spans="1:26">
      <c r="A8" t="s">
        <v>4</v>
      </c>
      <c r="B8" t="s">
        <v>15</v>
      </c>
      <c r="C8" t="s">
        <v>16</v>
      </c>
      <c r="D8" s="23">
        <f t="shared" ref="D8:I8" si="3">ROUND((D9+D10+D11)/D7,4)</f>
        <v>0.27289999999999998</v>
      </c>
      <c r="E8" s="23">
        <f t="shared" si="3"/>
        <v>0.2487</v>
      </c>
      <c r="F8" s="23">
        <f>ROUND((F9+F10+F11)/F7,4)</f>
        <v>0.2487</v>
      </c>
      <c r="G8" s="23">
        <f t="shared" si="3"/>
        <v>0.24859999999999999</v>
      </c>
      <c r="H8" s="23">
        <f t="shared" si="3"/>
        <v>0.24859999999999999</v>
      </c>
      <c r="I8" s="23">
        <f t="shared" si="3"/>
        <v>0.24859999999999999</v>
      </c>
      <c r="J8" s="23">
        <f t="shared" ref="J8:K8" si="4">ROUND((J9+J10+J11)/J7,4)</f>
        <v>0.24859999999999999</v>
      </c>
      <c r="K8" s="23">
        <f t="shared" si="4"/>
        <v>0.249</v>
      </c>
      <c r="L8" s="23">
        <f>ROUND((L9+L10+L11)/L7,4)</f>
        <v>0.24909999999999999</v>
      </c>
      <c r="M8" s="23">
        <f>ROUND((M9+M10+M11)/M7,4)</f>
        <v>0.249</v>
      </c>
      <c r="N8" s="23">
        <f>ROUND((N9+N10+N11)/N7,4)</f>
        <v>0.249</v>
      </c>
      <c r="O8" s="23">
        <f>ROUND((O9+O10+O11)/O7,4)</f>
        <v>0.249</v>
      </c>
    </row>
    <row r="9" spans="1:26">
      <c r="A9" t="s">
        <v>4</v>
      </c>
      <c r="B9" t="s">
        <v>17</v>
      </c>
      <c r="C9" t="s">
        <v>18</v>
      </c>
      <c r="D9">
        <v>6.8037000000000001</v>
      </c>
      <c r="E9">
        <v>6.1439000000000004</v>
      </c>
      <c r="F9">
        <v>6.1436999999999999</v>
      </c>
      <c r="G9">
        <v>6.1434999999999995</v>
      </c>
      <c r="H9">
        <v>6.1433999999999997</v>
      </c>
      <c r="I9">
        <v>6.1433999999999997</v>
      </c>
      <c r="J9">
        <v>6.1433999999999997</v>
      </c>
      <c r="K9">
        <v>6.1434999999999995</v>
      </c>
      <c r="L9">
        <v>6.1436000000000002</v>
      </c>
      <c r="M9">
        <v>6.1433999999999997</v>
      </c>
      <c r="N9" s="68">
        <f>6.1065+0.0212+0.0154</f>
        <v>6.1430999999999996</v>
      </c>
      <c r="O9" s="68">
        <f>6.1065+0.0212+0.0154</f>
        <v>6.1430999999999996</v>
      </c>
    </row>
    <row r="10" spans="1:26">
      <c r="A10" t="s">
        <v>4</v>
      </c>
      <c r="B10" t="s">
        <v>19</v>
      </c>
      <c r="C10" t="s">
        <v>20</v>
      </c>
      <c r="D10">
        <v>0.34029999999999999</v>
      </c>
      <c r="E10">
        <v>0.3402</v>
      </c>
      <c r="F10" s="23">
        <v>0.34</v>
      </c>
      <c r="G10">
        <v>0.33979999999999999</v>
      </c>
      <c r="H10">
        <v>0.3397</v>
      </c>
      <c r="I10">
        <v>0.3397</v>
      </c>
      <c r="J10">
        <v>0.3397</v>
      </c>
      <c r="K10">
        <v>0.33979999999999999</v>
      </c>
      <c r="L10">
        <v>0.33990000000000004</v>
      </c>
      <c r="M10">
        <v>0.3397</v>
      </c>
      <c r="N10" s="68">
        <f>0.3028+0.0212+0.0154</f>
        <v>0.33940000000000003</v>
      </c>
      <c r="O10" s="68">
        <f>0.3028+0.0212+0.0154</f>
        <v>0.33940000000000003</v>
      </c>
    </row>
    <row r="11" spans="1:26">
      <c r="A11" t="s">
        <v>4</v>
      </c>
      <c r="B11" t="s">
        <v>21</v>
      </c>
      <c r="C11" t="s">
        <v>22</v>
      </c>
      <c r="D11">
        <v>0.1726</v>
      </c>
      <c r="E11">
        <v>0.1825</v>
      </c>
      <c r="F11">
        <v>0.1825</v>
      </c>
      <c r="G11">
        <v>0.1825</v>
      </c>
      <c r="H11">
        <v>0.1825</v>
      </c>
      <c r="I11">
        <v>0.1825</v>
      </c>
      <c r="J11">
        <v>0.1825</v>
      </c>
      <c r="K11">
        <v>0.19309999999999999</v>
      </c>
      <c r="L11">
        <v>0.19309999999999999</v>
      </c>
      <c r="M11">
        <v>0.19309999999999999</v>
      </c>
      <c r="N11" s="68">
        <v>0.19309999999999999</v>
      </c>
      <c r="O11" s="68">
        <v>0.19309999999999999</v>
      </c>
    </row>
    <row r="12" spans="1:26" s="67" customFormat="1" ht="16.5">
      <c r="A12" s="68" t="s">
        <v>4</v>
      </c>
      <c r="B12" s="68" t="s">
        <v>23</v>
      </c>
      <c r="C12" s="68" t="s">
        <v>312</v>
      </c>
      <c r="D12" s="69">
        <v>3.73E-2</v>
      </c>
      <c r="E12" s="69">
        <v>2.7300000000000001E-2</v>
      </c>
      <c r="F12" s="69">
        <v>2.6800000000000001E-2</v>
      </c>
      <c r="G12" s="69">
        <v>3.49E-2</v>
      </c>
      <c r="H12" s="69">
        <v>1.84E-2</v>
      </c>
      <c r="I12" s="69">
        <v>1.6199999999999999E-2</v>
      </c>
      <c r="J12" s="69">
        <v>2.2700000000000001E-2</v>
      </c>
      <c r="K12" s="69">
        <v>1.8200000000000001E-2</v>
      </c>
      <c r="L12" s="69">
        <v>2.0899999999999998E-2</v>
      </c>
      <c r="M12" s="69">
        <v>1.52E-2</v>
      </c>
      <c r="N12" s="69">
        <v>1.34E-2</v>
      </c>
      <c r="O12" s="69">
        <v>1.7399999999999999E-2</v>
      </c>
    </row>
    <row r="13" spans="1:26">
      <c r="A13" t="s">
        <v>4</v>
      </c>
      <c r="B13" t="s">
        <v>24</v>
      </c>
      <c r="C13" t="s">
        <v>25</v>
      </c>
      <c r="D13" s="23">
        <f t="shared" ref="D13:H13" si="5">SUM(D3,D8,D12)</f>
        <v>2.3616000000000001</v>
      </c>
      <c r="E13" s="23">
        <f>SUM(E3,E8,E12)</f>
        <v>2.3273999999999999</v>
      </c>
      <c r="F13" s="23">
        <f t="shared" si="5"/>
        <v>2.3059000000000003</v>
      </c>
      <c r="G13" s="23">
        <f t="shared" si="5"/>
        <v>2.3139000000000003</v>
      </c>
      <c r="H13" s="23">
        <f t="shared" si="5"/>
        <v>2.2974000000000006</v>
      </c>
      <c r="I13" s="23">
        <f>SUM(I3,I8,I12)</f>
        <v>2.3271000000000002</v>
      </c>
      <c r="J13" s="23">
        <f t="shared" ref="J13:K13" si="6">SUM(J3,J8,J12)</f>
        <v>2.3336000000000001</v>
      </c>
      <c r="K13" s="23">
        <f t="shared" si="6"/>
        <v>2.3295000000000003</v>
      </c>
      <c r="L13" s="23">
        <f t="shared" ref="L13" si="7">SUM(L3,L8,L12)</f>
        <v>2.0466000000000002</v>
      </c>
      <c r="M13" s="23">
        <f t="shared" ref="M13:N13" si="8">SUM(M3,M8,M12)</f>
        <v>2.0407999999999999</v>
      </c>
      <c r="N13" s="23">
        <f t="shared" si="8"/>
        <v>2.0389999999999997</v>
      </c>
      <c r="O13" s="23">
        <f t="shared" ref="O13" si="9">SUM(O3,O8,O12)</f>
        <v>2.0120999999999998</v>
      </c>
    </row>
    <row r="14" spans="1:26">
      <c r="A14" t="s">
        <v>305</v>
      </c>
      <c r="B14" t="s">
        <v>27</v>
      </c>
      <c r="C14" t="s">
        <v>304</v>
      </c>
      <c r="D14" s="48">
        <f t="shared" ref="D14:I14" si="10">ROUND(1.26*D3+D8,4)</f>
        <v>2.8576999999999999</v>
      </c>
      <c r="E14" s="48">
        <f t="shared" si="10"/>
        <v>2.8334999999999999</v>
      </c>
      <c r="F14" s="48">
        <f t="shared" si="10"/>
        <v>2.8069999999999999</v>
      </c>
      <c r="G14" s="48">
        <f t="shared" si="10"/>
        <v>2.8069000000000002</v>
      </c>
      <c r="H14" s="48">
        <f t="shared" si="10"/>
        <v>2.8069000000000002</v>
      </c>
      <c r="I14" s="48">
        <f t="shared" si="10"/>
        <v>2.8471000000000002</v>
      </c>
      <c r="J14" s="48">
        <f t="shared" ref="J14:K14" si="11">ROUND(1.26*J3+J8,4)</f>
        <v>2.8471000000000002</v>
      </c>
      <c r="K14" s="48">
        <f t="shared" si="11"/>
        <v>2.8475000000000001</v>
      </c>
      <c r="L14" s="48">
        <f t="shared" ref="L14" si="12">ROUND(1.26*L3+L8,4)</f>
        <v>2.4876</v>
      </c>
      <c r="M14" s="48">
        <f t="shared" ref="M14:N14" si="13">ROUND(1.26*M3+M8,4)</f>
        <v>2.4874999999999998</v>
      </c>
      <c r="N14" s="48">
        <f t="shared" si="13"/>
        <v>2.4874999999999998</v>
      </c>
      <c r="O14" s="48">
        <f t="shared" ref="O14" si="14">ROUND(1.26*O3+O8,4)</f>
        <v>2.4485999999999999</v>
      </c>
    </row>
    <row r="15" spans="1:26">
      <c r="A15" t="s">
        <v>306</v>
      </c>
      <c r="B15" t="s">
        <v>30</v>
      </c>
      <c r="C15" t="s">
        <v>31</v>
      </c>
      <c r="E15" s="23"/>
      <c r="F15" s="47"/>
    </row>
    <row r="16" spans="1:26">
      <c r="D16" s="23"/>
      <c r="E16" s="23"/>
      <c r="F16" s="23"/>
      <c r="G16" s="23"/>
      <c r="H16" s="23"/>
    </row>
    <row r="18" spans="1:15">
      <c r="A18" t="s">
        <v>2</v>
      </c>
      <c r="C18" s="34" t="s">
        <v>32</v>
      </c>
      <c r="D18" s="38">
        <v>45627</v>
      </c>
      <c r="E18" s="38">
        <v>45658</v>
      </c>
      <c r="F18" s="38">
        <v>45689</v>
      </c>
      <c r="G18" s="38">
        <v>45717</v>
      </c>
      <c r="H18" s="38">
        <v>45748</v>
      </c>
      <c r="I18" s="38">
        <v>45778</v>
      </c>
      <c r="J18" s="38">
        <v>45809</v>
      </c>
      <c r="K18" s="38">
        <v>45839</v>
      </c>
      <c r="L18" s="38">
        <v>45870</v>
      </c>
      <c r="M18" s="38">
        <v>45901</v>
      </c>
      <c r="N18" s="38">
        <v>45931</v>
      </c>
      <c r="O18" s="38">
        <v>45962</v>
      </c>
    </row>
    <row r="19" spans="1:15">
      <c r="A19" t="s">
        <v>4</v>
      </c>
      <c r="B19" t="s">
        <v>5</v>
      </c>
      <c r="C19" t="s">
        <v>33</v>
      </c>
      <c r="D19">
        <f t="shared" ref="D19:I19" si="15">ROUND(D22*D21*D20/D23,4)</f>
        <v>1.9277</v>
      </c>
      <c r="E19">
        <f t="shared" si="15"/>
        <v>1.9277</v>
      </c>
      <c r="F19">
        <f t="shared" si="15"/>
        <v>1.8875</v>
      </c>
      <c r="G19">
        <f t="shared" si="15"/>
        <v>1.8875</v>
      </c>
      <c r="H19">
        <f t="shared" si="15"/>
        <v>1.8875</v>
      </c>
      <c r="I19">
        <f t="shared" si="15"/>
        <v>1.9176</v>
      </c>
      <c r="J19">
        <f t="shared" ref="J19:K19" si="16">ROUND(J22*J21*J20/J23,4)</f>
        <v>1.9176</v>
      </c>
      <c r="K19">
        <f t="shared" si="16"/>
        <v>1.9176</v>
      </c>
      <c r="L19">
        <f t="shared" ref="L19:M19" si="17">ROUND(L22*L21*L20/L23,4)</f>
        <v>1.6642999999999999</v>
      </c>
      <c r="M19">
        <f t="shared" si="17"/>
        <v>1.6642999999999999</v>
      </c>
      <c r="N19">
        <f t="shared" ref="N19:O19" si="18">ROUND(N22*N21*N20/N23,4)</f>
        <v>1.6642999999999999</v>
      </c>
      <c r="O19">
        <f t="shared" si="18"/>
        <v>1.6297999999999999</v>
      </c>
    </row>
    <row r="20" spans="1:15">
      <c r="A20" t="s">
        <v>4</v>
      </c>
      <c r="B20" t="s">
        <v>7</v>
      </c>
      <c r="C20" t="s">
        <v>34</v>
      </c>
      <c r="D20">
        <f>Indicadores!M7</f>
        <v>5.5453999999999999</v>
      </c>
      <c r="E20">
        <f>Indicadores!N7</f>
        <v>5.5453999999999999</v>
      </c>
      <c r="F20">
        <f>Indicadores!O7</f>
        <v>5.8369</v>
      </c>
      <c r="G20">
        <f>Indicadores!P7</f>
        <v>5.8369</v>
      </c>
      <c r="H20">
        <f>Indicadores!Q7</f>
        <v>5.8369</v>
      </c>
      <c r="I20">
        <f>Indicadores!R7</f>
        <v>5.8521999999999998</v>
      </c>
      <c r="J20">
        <f>Indicadores!S7</f>
        <v>5.8521999999999998</v>
      </c>
      <c r="K20">
        <f>Indicadores!T7</f>
        <v>5.8521999999999998</v>
      </c>
      <c r="L20">
        <f>Indicadores!U7</f>
        <v>5.6661000000000001</v>
      </c>
      <c r="M20">
        <f>Indicadores!V7</f>
        <v>5.6661000000000001</v>
      </c>
      <c r="N20">
        <f>Indicadores!W7</f>
        <v>5.6661000000000001</v>
      </c>
      <c r="O20">
        <f>Indicadores!X7</f>
        <v>5.4488000000000003</v>
      </c>
    </row>
    <row r="21" spans="1:15">
      <c r="A21" t="s">
        <v>4</v>
      </c>
      <c r="B21" t="s">
        <v>35</v>
      </c>
      <c r="C21" t="s">
        <v>36</v>
      </c>
      <c r="D21" s="48">
        <f>Indicadores!M3</f>
        <v>80.338300000000004</v>
      </c>
      <c r="E21" s="48">
        <f>Indicadores!N3</f>
        <v>80.338300000000004</v>
      </c>
      <c r="F21" s="48">
        <f>Indicadores!O3</f>
        <v>74.7333</v>
      </c>
      <c r="G21" s="48">
        <f>Indicadores!P3</f>
        <v>74.7333</v>
      </c>
      <c r="H21" s="48">
        <f>Indicadores!Q3</f>
        <v>74.7333</v>
      </c>
      <c r="I21" s="48">
        <f>Indicadores!R3</f>
        <v>75.728200000000001</v>
      </c>
      <c r="J21" s="48">
        <f>Indicadores!S3</f>
        <v>75.728200000000001</v>
      </c>
      <c r="K21" s="48">
        <f>Indicadores!T3</f>
        <v>75.728200000000001</v>
      </c>
      <c r="L21" s="48">
        <f>Indicadores!U3</f>
        <v>67.884</v>
      </c>
      <c r="M21" s="48">
        <f>Indicadores!V3</f>
        <v>67.884</v>
      </c>
      <c r="N21" s="48">
        <f>Indicadores!W3</f>
        <v>67.884</v>
      </c>
      <c r="O21" s="48">
        <f>Indicadores!X3</f>
        <v>69.1267</v>
      </c>
    </row>
    <row r="22" spans="1:15">
      <c r="A22" t="s">
        <v>4</v>
      </c>
      <c r="B22" t="s">
        <v>11</v>
      </c>
      <c r="C22" t="s">
        <v>12</v>
      </c>
      <c r="D22" s="4">
        <v>0.11600000000000001</v>
      </c>
      <c r="E22" s="4">
        <v>0.11600000000000001</v>
      </c>
      <c r="F22" s="4">
        <v>0.11600000000000001</v>
      </c>
      <c r="G22" s="4">
        <v>0.11600000000000001</v>
      </c>
      <c r="H22" s="4">
        <v>0.11600000000000001</v>
      </c>
      <c r="I22" s="4">
        <v>0.11600000000000001</v>
      </c>
      <c r="J22" s="4">
        <v>0.11600000000000001</v>
      </c>
      <c r="K22" s="4">
        <v>0.11600000000000001</v>
      </c>
      <c r="L22" s="4">
        <v>0.11600000000000001</v>
      </c>
      <c r="M22" s="4">
        <v>0.11600000000000001</v>
      </c>
      <c r="N22" s="4">
        <v>0.11600000000000001</v>
      </c>
      <c r="O22" s="4">
        <v>0.11600000000000001</v>
      </c>
    </row>
    <row r="23" spans="1:15">
      <c r="A23" t="s">
        <v>4</v>
      </c>
      <c r="B23" t="s">
        <v>13</v>
      </c>
      <c r="C23" t="s">
        <v>14</v>
      </c>
      <c r="D23">
        <v>26.8081</v>
      </c>
      <c r="E23">
        <v>26.8081</v>
      </c>
      <c r="F23">
        <v>26.8081</v>
      </c>
      <c r="G23">
        <v>26.8081</v>
      </c>
      <c r="H23">
        <v>26.8081</v>
      </c>
      <c r="I23">
        <v>26.8081</v>
      </c>
      <c r="J23">
        <v>26.8081</v>
      </c>
      <c r="K23">
        <v>26.8081</v>
      </c>
      <c r="L23">
        <v>26.8081</v>
      </c>
      <c r="M23">
        <v>26.8081</v>
      </c>
      <c r="N23">
        <v>26.8081</v>
      </c>
      <c r="O23">
        <v>26.8081</v>
      </c>
    </row>
    <row r="24" spans="1:15">
      <c r="A24" t="s">
        <v>4</v>
      </c>
      <c r="B24" t="s">
        <v>15</v>
      </c>
      <c r="C24" t="s">
        <v>16</v>
      </c>
      <c r="D24" s="23">
        <f t="shared" ref="D24" si="19">ROUND(D27*D25/D26,4)</f>
        <v>0.3795</v>
      </c>
      <c r="E24" s="23">
        <f t="shared" ref="E24" si="20">ROUND(E27*E25/E26,4)</f>
        <v>0.3795</v>
      </c>
      <c r="F24" s="23">
        <f t="shared" ref="F24" si="21">ROUND(F27*F25/F26,4)</f>
        <v>0.3795</v>
      </c>
      <c r="G24" s="23">
        <f t="shared" ref="G24" si="22">ROUND(G27*G25/G26,4)</f>
        <v>0.3795</v>
      </c>
      <c r="H24" s="23">
        <f t="shared" ref="H24" si="23">ROUND(H27*H25/H26,4)</f>
        <v>0.3795</v>
      </c>
      <c r="I24" s="23">
        <f t="shared" ref="I24:J24" si="24">ROUND(I27*I25/I26,4)</f>
        <v>0.41210000000000002</v>
      </c>
      <c r="J24" s="23">
        <f t="shared" si="24"/>
        <v>0.41210000000000002</v>
      </c>
      <c r="K24" s="23">
        <f t="shared" ref="K24:L24" si="25">ROUND(K27*K25/K26,4)</f>
        <v>0.41210000000000002</v>
      </c>
      <c r="L24" s="23">
        <f t="shared" si="25"/>
        <v>0.41210000000000002</v>
      </c>
      <c r="M24" s="23">
        <f t="shared" ref="M24:N24" si="26">ROUND(M27*M25/M26,4)</f>
        <v>0.41210000000000002</v>
      </c>
      <c r="N24" s="23">
        <f t="shared" si="26"/>
        <v>0.41210000000000002</v>
      </c>
      <c r="O24" s="23">
        <f t="shared" ref="O24" si="27">ROUND(O27*O25/O26,4)</f>
        <v>0.41210000000000002</v>
      </c>
    </row>
    <row r="25" spans="1:15">
      <c r="A25" t="s">
        <v>4</v>
      </c>
      <c r="B25" t="s">
        <v>37</v>
      </c>
      <c r="C25" t="s">
        <v>38</v>
      </c>
      <c r="D25" s="29">
        <f>Indicadores!$D$11</f>
        <v>1113.837</v>
      </c>
      <c r="E25" s="29">
        <f>Indicadores!$D$11</f>
        <v>1113.837</v>
      </c>
      <c r="F25" s="29">
        <f>Indicadores!$D$11</f>
        <v>1113.837</v>
      </c>
      <c r="G25" s="29">
        <f>Indicadores!$D$11</f>
        <v>1113.837</v>
      </c>
      <c r="H25" s="29">
        <f>Indicadores!$D$11</f>
        <v>1113.837</v>
      </c>
      <c r="I25" s="29">
        <f>Indicadores!$P$11</f>
        <v>1209.432</v>
      </c>
      <c r="J25" s="29">
        <f>Indicadores!$P$11</f>
        <v>1209.432</v>
      </c>
      <c r="K25" s="29">
        <f>Indicadores!$P$11</f>
        <v>1209.432</v>
      </c>
      <c r="L25" s="29">
        <f>Indicadores!$P$11</f>
        <v>1209.432</v>
      </c>
      <c r="M25" s="29">
        <f>Indicadores!$P$11</f>
        <v>1209.432</v>
      </c>
      <c r="N25" s="29">
        <f>Indicadores!$P$11</f>
        <v>1209.432</v>
      </c>
      <c r="O25" s="29">
        <f>Indicadores!$P$11</f>
        <v>1209.432</v>
      </c>
    </row>
    <row r="26" spans="1:15">
      <c r="A26" t="s">
        <v>4</v>
      </c>
      <c r="B26" t="s">
        <v>39</v>
      </c>
      <c r="C26" t="s">
        <v>39</v>
      </c>
      <c r="D26" s="29">
        <v>771.90800000000002</v>
      </c>
      <c r="E26" s="29">
        <v>771.90800000000002</v>
      </c>
      <c r="F26" s="29">
        <v>771.90800000000002</v>
      </c>
      <c r="G26" s="29">
        <v>771.90800000000002</v>
      </c>
      <c r="H26" s="29">
        <v>771.90800000000002</v>
      </c>
      <c r="I26" s="29">
        <v>771.90800000000002</v>
      </c>
      <c r="J26" s="29">
        <v>771.90800000000002</v>
      </c>
      <c r="K26" s="29">
        <v>771.90800000000002</v>
      </c>
      <c r="L26" s="29">
        <v>771.90800000000002</v>
      </c>
      <c r="M26" s="29">
        <v>771.90800000000002</v>
      </c>
      <c r="N26" s="29">
        <v>771.90800000000002</v>
      </c>
      <c r="O26" s="29">
        <v>771.90800000000002</v>
      </c>
    </row>
    <row r="27" spans="1:15">
      <c r="A27" t="s">
        <v>4</v>
      </c>
      <c r="B27" t="s">
        <v>40</v>
      </c>
      <c r="C27" t="s">
        <v>40</v>
      </c>
      <c r="D27" s="23">
        <v>0.26300000000000001</v>
      </c>
      <c r="E27" s="23">
        <v>0.26300000000000001</v>
      </c>
      <c r="F27" s="23">
        <v>0.26300000000000001</v>
      </c>
      <c r="G27" s="23">
        <v>0.26300000000000001</v>
      </c>
      <c r="H27" s="23">
        <v>0.26300000000000001</v>
      </c>
      <c r="I27" s="23">
        <v>0.26300000000000001</v>
      </c>
      <c r="J27" s="23">
        <v>0.26300000000000001</v>
      </c>
      <c r="K27" s="23">
        <v>0.26300000000000001</v>
      </c>
      <c r="L27" s="23">
        <v>0.26300000000000001</v>
      </c>
      <c r="M27" s="23">
        <v>0.26300000000000001</v>
      </c>
      <c r="N27" s="23">
        <v>0.26300000000000001</v>
      </c>
      <c r="O27" s="23">
        <v>0.26300000000000001</v>
      </c>
    </row>
    <row r="28" spans="1:15">
      <c r="A28" t="s">
        <v>4</v>
      </c>
      <c r="B28" t="s">
        <v>24</v>
      </c>
      <c r="C28" t="s">
        <v>41</v>
      </c>
      <c r="D28" s="23">
        <f t="shared" ref="D28:I28" si="28">SUM(D19,D24)</f>
        <v>2.3071999999999999</v>
      </c>
      <c r="E28" s="23">
        <f t="shared" si="28"/>
        <v>2.3071999999999999</v>
      </c>
      <c r="F28" s="23">
        <f t="shared" si="28"/>
        <v>2.2669999999999999</v>
      </c>
      <c r="G28" s="23">
        <f t="shared" si="28"/>
        <v>2.2669999999999999</v>
      </c>
      <c r="H28" s="23">
        <f t="shared" si="28"/>
        <v>2.2669999999999999</v>
      </c>
      <c r="I28" s="23">
        <f t="shared" si="28"/>
        <v>2.3296999999999999</v>
      </c>
      <c r="J28" s="23">
        <f t="shared" ref="J28:K28" si="29">SUM(J19,J24)</f>
        <v>2.3296999999999999</v>
      </c>
      <c r="K28" s="23">
        <f t="shared" si="29"/>
        <v>2.3296999999999999</v>
      </c>
      <c r="L28" s="23">
        <f t="shared" ref="L28:M28" si="30">SUM(L19,L24)</f>
        <v>2.0764</v>
      </c>
      <c r="M28" s="23">
        <f t="shared" si="30"/>
        <v>2.0764</v>
      </c>
      <c r="N28" s="23">
        <f t="shared" ref="N28:O28" si="31">SUM(N19,N24)</f>
        <v>2.0764</v>
      </c>
      <c r="O28" s="23">
        <f t="shared" si="31"/>
        <v>2.0419</v>
      </c>
    </row>
    <row r="29" spans="1:15" s="6" customFormat="1">
      <c r="A29" s="6" t="s">
        <v>42</v>
      </c>
      <c r="B29" s="6" t="s">
        <v>43</v>
      </c>
      <c r="C29" s="6" t="s">
        <v>44</v>
      </c>
      <c r="D29" s="27">
        <v>0.11</v>
      </c>
      <c r="E29" s="27">
        <v>0.11</v>
      </c>
      <c r="F29" s="27">
        <v>0.11</v>
      </c>
      <c r="G29" s="27">
        <v>0.11</v>
      </c>
      <c r="H29" s="27">
        <v>0.11</v>
      </c>
      <c r="I29" s="27">
        <v>0.11</v>
      </c>
      <c r="J29" s="27">
        <v>0.11</v>
      </c>
      <c r="K29" s="27">
        <v>0.11</v>
      </c>
      <c r="L29" s="27">
        <v>0.11</v>
      </c>
      <c r="M29" s="27">
        <v>0.11</v>
      </c>
      <c r="N29" s="27">
        <v>0.11</v>
      </c>
      <c r="O29" s="27">
        <v>0.11</v>
      </c>
    </row>
    <row r="30" spans="1:15">
      <c r="A30" t="s">
        <v>42</v>
      </c>
      <c r="B30" t="s">
        <v>45</v>
      </c>
      <c r="C30" t="s">
        <v>46</v>
      </c>
      <c r="D30" s="23">
        <f t="shared" ref="D30:I30" si="32">ROUND(D20*D21*D29/D23,4)</f>
        <v>1.8280000000000001</v>
      </c>
      <c r="E30" s="23">
        <f t="shared" si="32"/>
        <v>1.8280000000000001</v>
      </c>
      <c r="F30" s="23">
        <f t="shared" si="32"/>
        <v>1.7899</v>
      </c>
      <c r="G30" s="23">
        <f t="shared" si="32"/>
        <v>1.7899</v>
      </c>
      <c r="H30" s="23">
        <f t="shared" si="32"/>
        <v>1.7899</v>
      </c>
      <c r="I30" s="23">
        <f t="shared" si="32"/>
        <v>1.8185</v>
      </c>
      <c r="J30" s="23">
        <f t="shared" ref="J30:K30" si="33">ROUND(J20*J21*J29/J23,4)</f>
        <v>1.8185</v>
      </c>
      <c r="K30" s="23">
        <f t="shared" si="33"/>
        <v>1.8185</v>
      </c>
      <c r="L30" s="23">
        <f t="shared" ref="L30:M30" si="34">ROUND(L20*L21*L29/L23,4)</f>
        <v>1.5783</v>
      </c>
      <c r="M30" s="23">
        <f t="shared" si="34"/>
        <v>1.5783</v>
      </c>
      <c r="N30" s="23">
        <f t="shared" ref="N30:O30" si="35">ROUND(N20*N21*N29/N23,4)</f>
        <v>1.5783</v>
      </c>
      <c r="O30" s="23">
        <f t="shared" si="35"/>
        <v>1.5455000000000001</v>
      </c>
    </row>
    <row r="31" spans="1:15">
      <c r="A31" t="s">
        <v>42</v>
      </c>
      <c r="B31" t="s">
        <v>47</v>
      </c>
      <c r="C31" s="26" t="s">
        <v>48</v>
      </c>
      <c r="D31" s="23">
        <f t="shared" ref="D31:I31" si="36">D30+D24</f>
        <v>2.2075</v>
      </c>
      <c r="E31" s="23">
        <f t="shared" si="36"/>
        <v>2.2075</v>
      </c>
      <c r="F31" s="23">
        <f t="shared" si="36"/>
        <v>2.1694</v>
      </c>
      <c r="G31" s="23">
        <f t="shared" si="36"/>
        <v>2.1694</v>
      </c>
      <c r="H31" s="23">
        <f t="shared" si="36"/>
        <v>2.1694</v>
      </c>
      <c r="I31" s="23">
        <f t="shared" si="36"/>
        <v>2.2305999999999999</v>
      </c>
      <c r="J31" s="23">
        <f t="shared" ref="J31:K31" si="37">J30+J24</f>
        <v>2.2305999999999999</v>
      </c>
      <c r="K31" s="23">
        <f t="shared" si="37"/>
        <v>2.2305999999999999</v>
      </c>
      <c r="L31" s="23">
        <f t="shared" ref="L31:M31" si="38">L30+L24</f>
        <v>1.9904000000000002</v>
      </c>
      <c r="M31" s="23">
        <f t="shared" si="38"/>
        <v>1.9904000000000002</v>
      </c>
      <c r="N31" s="23">
        <f t="shared" ref="N31:O31" si="39">N30+N24</f>
        <v>1.9904000000000002</v>
      </c>
      <c r="O31" s="23">
        <f t="shared" si="39"/>
        <v>1.9576000000000002</v>
      </c>
    </row>
    <row r="32" spans="1:15">
      <c r="A32" t="s">
        <v>26</v>
      </c>
      <c r="B32" t="s">
        <v>49</v>
      </c>
      <c r="C32" t="s">
        <v>50</v>
      </c>
      <c r="D32" s="48">
        <f>ROUND(1.5*D19+D24,4)</f>
        <v>3.2711000000000001</v>
      </c>
      <c r="E32" s="48">
        <f t="shared" ref="E32:I32" si="40">ROUND(1.5*E19+E24,4)</f>
        <v>3.2711000000000001</v>
      </c>
      <c r="F32" s="48">
        <f t="shared" si="40"/>
        <v>3.2107999999999999</v>
      </c>
      <c r="G32" s="48">
        <f t="shared" si="40"/>
        <v>3.2107999999999999</v>
      </c>
      <c r="H32" s="48">
        <f>ROUND(1.5*H19+H24,4)</f>
        <v>3.2107999999999999</v>
      </c>
      <c r="I32" s="48">
        <f t="shared" si="40"/>
        <v>3.2885</v>
      </c>
      <c r="J32" s="48">
        <f t="shared" ref="J32:K32" si="41">ROUND(1.5*J19+J24,4)</f>
        <v>3.2885</v>
      </c>
      <c r="K32" s="48">
        <f t="shared" si="41"/>
        <v>3.2885</v>
      </c>
      <c r="L32" s="48">
        <f t="shared" ref="L32:M32" si="42">ROUND(1.5*L19+L24,4)</f>
        <v>2.9085999999999999</v>
      </c>
      <c r="M32" s="48">
        <f t="shared" si="42"/>
        <v>2.9085999999999999</v>
      </c>
      <c r="N32" s="48">
        <f t="shared" ref="N32:O32" si="43">ROUND(1.5*N19+N24,4)</f>
        <v>2.9085999999999999</v>
      </c>
      <c r="O32" s="48">
        <f t="shared" si="43"/>
        <v>2.8567999999999998</v>
      </c>
    </row>
    <row r="33" spans="1:15">
      <c r="A33" t="s">
        <v>26</v>
      </c>
      <c r="B33" t="s">
        <v>51</v>
      </c>
      <c r="C33" t="s">
        <v>52</v>
      </c>
      <c r="D33" s="48">
        <f>ROUND(2*D19+D24,4)</f>
        <v>4.2348999999999997</v>
      </c>
      <c r="E33" s="48">
        <f t="shared" ref="E33:I33" si="44">ROUND(2*E19+E24,4)</f>
        <v>4.2348999999999997</v>
      </c>
      <c r="F33" s="48">
        <f t="shared" si="44"/>
        <v>4.1544999999999996</v>
      </c>
      <c r="G33" s="48">
        <f t="shared" si="44"/>
        <v>4.1544999999999996</v>
      </c>
      <c r="H33" s="48">
        <f t="shared" si="44"/>
        <v>4.1544999999999996</v>
      </c>
      <c r="I33" s="48">
        <f t="shared" si="44"/>
        <v>4.2473000000000001</v>
      </c>
      <c r="J33" s="48">
        <f t="shared" ref="J33:K33" si="45">ROUND(2*J19+J24,4)</f>
        <v>4.2473000000000001</v>
      </c>
      <c r="K33" s="48">
        <f t="shared" si="45"/>
        <v>4.2473000000000001</v>
      </c>
      <c r="L33" s="48">
        <f t="shared" ref="L33:M33" si="46">ROUND(2*L19+L24,4)</f>
        <v>3.7406999999999999</v>
      </c>
      <c r="M33" s="48">
        <f t="shared" si="46"/>
        <v>3.7406999999999999</v>
      </c>
      <c r="N33" s="48">
        <f t="shared" ref="N33:O33" si="47">ROUND(2*N19+N24,4)</f>
        <v>3.7406999999999999</v>
      </c>
      <c r="O33" s="48">
        <f t="shared" si="47"/>
        <v>3.6717</v>
      </c>
    </row>
    <row r="34" spans="1:15" s="7" customFormat="1">
      <c r="F34" s="28"/>
    </row>
    <row r="36" spans="1:15">
      <c r="A36" t="s">
        <v>2</v>
      </c>
      <c r="C36" s="34" t="s">
        <v>53</v>
      </c>
      <c r="D36" s="38">
        <v>45627</v>
      </c>
      <c r="E36" s="38">
        <v>45658</v>
      </c>
      <c r="F36" s="38">
        <v>45689</v>
      </c>
      <c r="G36" s="38">
        <v>45717</v>
      </c>
      <c r="H36" s="38">
        <v>45748</v>
      </c>
      <c r="I36" s="38">
        <v>45778</v>
      </c>
      <c r="J36" s="38">
        <v>45809</v>
      </c>
      <c r="K36" s="38">
        <v>45839</v>
      </c>
      <c r="L36" s="38">
        <v>45870</v>
      </c>
      <c r="M36" s="38">
        <v>45901</v>
      </c>
      <c r="N36" s="38">
        <v>45931</v>
      </c>
      <c r="O36" s="38">
        <v>45962</v>
      </c>
    </row>
    <row r="37" spans="1:15">
      <c r="A37" t="s">
        <v>4</v>
      </c>
      <c r="B37" t="s">
        <v>5</v>
      </c>
      <c r="C37" t="s">
        <v>33</v>
      </c>
      <c r="D37">
        <f t="shared" ref="D37:I37" si="48">ROUND(D40*D39*D38/D41,4)</f>
        <v>1.9375</v>
      </c>
      <c r="E37">
        <f t="shared" si="48"/>
        <v>1.9375</v>
      </c>
      <c r="F37">
        <f t="shared" si="48"/>
        <v>1.9176</v>
      </c>
      <c r="G37">
        <f t="shared" si="48"/>
        <v>1.9176</v>
      </c>
      <c r="H37">
        <f t="shared" si="48"/>
        <v>1.9176</v>
      </c>
      <c r="I37">
        <f t="shared" si="48"/>
        <v>1.9477</v>
      </c>
      <c r="J37">
        <f t="shared" ref="J37:K37" si="49">ROUND(J40*J39*J38/J41,4)</f>
        <v>1.9477</v>
      </c>
      <c r="K37">
        <f t="shared" si="49"/>
        <v>1.9477</v>
      </c>
      <c r="L37">
        <f t="shared" ref="L37:M37" si="50">ROUND(L40*L39*L38/L41,4)</f>
        <v>1.6778999999999999</v>
      </c>
      <c r="M37">
        <f t="shared" si="50"/>
        <v>1.6778999999999999</v>
      </c>
      <c r="N37">
        <f t="shared" ref="N37:O37" si="51">ROUND(N40*N39*N38/N41,4)</f>
        <v>1.6778999999999999</v>
      </c>
      <c r="O37">
        <f t="shared" si="51"/>
        <v>1.6487000000000001</v>
      </c>
    </row>
    <row r="38" spans="1:15">
      <c r="A38" t="s">
        <v>4</v>
      </c>
      <c r="B38" t="s">
        <v>7</v>
      </c>
      <c r="C38" t="s">
        <v>34</v>
      </c>
      <c r="D38">
        <f>Indicadores!M7</f>
        <v>5.5453999999999999</v>
      </c>
      <c r="E38">
        <f>Indicadores!N7</f>
        <v>5.5453999999999999</v>
      </c>
      <c r="F38">
        <f>Indicadores!O7</f>
        <v>5.8369</v>
      </c>
      <c r="G38">
        <f>Indicadores!P7</f>
        <v>5.8369</v>
      </c>
      <c r="H38">
        <f>Indicadores!Q7</f>
        <v>5.8369</v>
      </c>
      <c r="I38">
        <f>Indicadores!R7</f>
        <v>5.8521999999999998</v>
      </c>
      <c r="J38">
        <f>Indicadores!S7</f>
        <v>5.8521999999999998</v>
      </c>
      <c r="K38">
        <f>Indicadores!T7</f>
        <v>5.8521999999999998</v>
      </c>
      <c r="L38">
        <f>Indicadores!U7</f>
        <v>5.6661000000000001</v>
      </c>
      <c r="M38">
        <f>Indicadores!V7</f>
        <v>5.6661000000000001</v>
      </c>
      <c r="N38">
        <f>Indicadores!W7</f>
        <v>5.6661000000000001</v>
      </c>
      <c r="O38">
        <f>Indicadores!X7</f>
        <v>5.4488000000000003</v>
      </c>
    </row>
    <row r="39" spans="1:15">
      <c r="A39" t="s">
        <v>4</v>
      </c>
      <c r="B39" t="s">
        <v>9</v>
      </c>
      <c r="C39" t="s">
        <v>36</v>
      </c>
      <c r="D39">
        <f>Indicadores!M2</f>
        <v>78.708500000000001</v>
      </c>
      <c r="E39">
        <f>Indicadores!N2</f>
        <v>78.708500000000001</v>
      </c>
      <c r="F39">
        <f>Indicadores!O2</f>
        <v>74.012200000000007</v>
      </c>
      <c r="G39">
        <f>Indicadores!P2</f>
        <v>74.012200000000007</v>
      </c>
      <c r="H39">
        <f>Indicadores!Q2</f>
        <v>74.012200000000007</v>
      </c>
      <c r="I39">
        <f>Indicadores!R2</f>
        <v>74.977500000000006</v>
      </c>
      <c r="J39">
        <f>Indicadores!S2</f>
        <v>74.977500000000006</v>
      </c>
      <c r="K39">
        <f>Indicadores!T2</f>
        <v>74.977500000000006</v>
      </c>
      <c r="L39">
        <f>Indicadores!U2</f>
        <v>66.7119</v>
      </c>
      <c r="M39">
        <f>Indicadores!V2</f>
        <v>66.7119</v>
      </c>
      <c r="N39">
        <f>Indicadores!W2</f>
        <v>66.7119</v>
      </c>
      <c r="O39">
        <f>Indicadores!X2</f>
        <v>68.165000000000006</v>
      </c>
    </row>
    <row r="40" spans="1:15">
      <c r="A40" t="s">
        <v>4</v>
      </c>
      <c r="B40" t="s">
        <v>11</v>
      </c>
      <c r="C40" t="s">
        <v>12</v>
      </c>
      <c r="D40" s="4">
        <v>0.11899999999999999</v>
      </c>
      <c r="E40" s="4">
        <v>0.11899999999999999</v>
      </c>
      <c r="F40" s="4">
        <v>0.11899999999999999</v>
      </c>
      <c r="G40" s="4">
        <v>0.11899999999999999</v>
      </c>
      <c r="H40" s="4">
        <v>0.11899999999999999</v>
      </c>
      <c r="I40" s="4">
        <v>0.11899999999999999</v>
      </c>
      <c r="J40" s="4">
        <v>0.11899999999999999</v>
      </c>
      <c r="K40" s="4">
        <v>0.11899999999999999</v>
      </c>
      <c r="L40" s="4">
        <v>0.11899999999999999</v>
      </c>
      <c r="M40" s="4">
        <v>0.11899999999999999</v>
      </c>
      <c r="N40" s="4">
        <v>0.11899999999999999</v>
      </c>
      <c r="O40" s="4">
        <v>0.11899999999999999</v>
      </c>
    </row>
    <row r="41" spans="1:15">
      <c r="A41" t="s">
        <v>4</v>
      </c>
      <c r="B41" t="s">
        <v>13</v>
      </c>
      <c r="C41" t="s">
        <v>14</v>
      </c>
      <c r="D41">
        <v>26.8081</v>
      </c>
      <c r="E41">
        <v>26.8081</v>
      </c>
      <c r="F41">
        <v>26.8081</v>
      </c>
      <c r="G41">
        <v>26.8081</v>
      </c>
      <c r="H41">
        <v>26.8081</v>
      </c>
      <c r="I41">
        <v>26.8081</v>
      </c>
      <c r="J41">
        <v>26.8081</v>
      </c>
      <c r="K41">
        <v>26.8081</v>
      </c>
      <c r="L41">
        <v>26.8081</v>
      </c>
      <c r="M41">
        <v>26.8081</v>
      </c>
      <c r="N41">
        <v>26.8081</v>
      </c>
      <c r="O41">
        <v>26.8081</v>
      </c>
    </row>
    <row r="42" spans="1:15">
      <c r="A42" t="s">
        <v>4</v>
      </c>
      <c r="B42" t="s">
        <v>15</v>
      </c>
      <c r="C42" t="s">
        <v>16</v>
      </c>
      <c r="D42" s="23">
        <f t="shared" ref="D42:E42" si="52">ROUND(D45*D43/D44,4)</f>
        <v>0.29399999999999998</v>
      </c>
      <c r="E42" s="23">
        <f t="shared" si="52"/>
        <v>0.31259999999999999</v>
      </c>
      <c r="F42" s="23">
        <f t="shared" ref="F42" si="53">ROUND(F45*F43/F44,4)</f>
        <v>0.31259999999999999</v>
      </c>
      <c r="G42" s="23">
        <f t="shared" ref="G42" si="54">ROUND(G45*G43/G44,4)</f>
        <v>0.31259999999999999</v>
      </c>
      <c r="H42" s="23">
        <f t="shared" ref="H42" si="55">ROUND(H45*H43/H44,4)</f>
        <v>0.31259999999999999</v>
      </c>
      <c r="I42" s="23">
        <f t="shared" ref="I42:J42" si="56">ROUND(I45*I43/I44,4)</f>
        <v>0.31259999999999999</v>
      </c>
      <c r="J42" s="23">
        <f t="shared" si="56"/>
        <v>0.31259999999999999</v>
      </c>
      <c r="K42" s="23">
        <f t="shared" ref="K42:L42" si="57">ROUND(K45*K43/K44,4)</f>
        <v>0.31259999999999999</v>
      </c>
      <c r="L42" s="23">
        <f t="shared" si="57"/>
        <v>0.31259999999999999</v>
      </c>
      <c r="M42" s="23">
        <f t="shared" ref="M42:N42" si="58">ROUND(M45*M43/M44,4)</f>
        <v>0.31259999999999999</v>
      </c>
      <c r="N42" s="23">
        <f t="shared" si="58"/>
        <v>0.31259999999999999</v>
      </c>
      <c r="O42" s="23">
        <f t="shared" ref="O42" si="59">ROUND(O45*O43/O44,4)</f>
        <v>0.31259999999999999</v>
      </c>
    </row>
    <row r="43" spans="1:15">
      <c r="A43" t="s">
        <v>4</v>
      </c>
      <c r="B43" t="s">
        <v>37</v>
      </c>
      <c r="C43" t="s">
        <v>38</v>
      </c>
      <c r="D43" s="29">
        <v>1115.8150000000001</v>
      </c>
      <c r="E43" s="29">
        <f>Indicadores!$L$11</f>
        <v>1186.462</v>
      </c>
      <c r="F43" s="29">
        <f>Indicadores!$L$11</f>
        <v>1186.462</v>
      </c>
      <c r="G43" s="29">
        <f>Indicadores!$L$11</f>
        <v>1186.462</v>
      </c>
      <c r="H43" s="29">
        <f>Indicadores!$L$11</f>
        <v>1186.462</v>
      </c>
      <c r="I43" s="29">
        <f>Indicadores!$L$11</f>
        <v>1186.462</v>
      </c>
      <c r="J43" s="29">
        <f>Indicadores!$L$11</f>
        <v>1186.462</v>
      </c>
      <c r="K43" s="29">
        <f>Indicadores!$L$11</f>
        <v>1186.462</v>
      </c>
      <c r="L43" s="29">
        <f>Indicadores!$L$11</f>
        <v>1186.462</v>
      </c>
      <c r="M43" s="29">
        <f>Indicadores!$L$11</f>
        <v>1186.462</v>
      </c>
      <c r="N43" s="29">
        <f>Indicadores!$L$11</f>
        <v>1186.462</v>
      </c>
      <c r="O43" s="29">
        <f>Indicadores!$L$11</f>
        <v>1186.462</v>
      </c>
    </row>
    <row r="44" spans="1:15">
      <c r="A44" t="s">
        <v>4</v>
      </c>
      <c r="B44" t="s">
        <v>39</v>
      </c>
      <c r="C44" t="s">
        <v>39</v>
      </c>
      <c r="D44" s="29">
        <v>1155.829</v>
      </c>
      <c r="E44" s="29">
        <v>1155.829</v>
      </c>
      <c r="F44" s="29">
        <v>1155.829</v>
      </c>
      <c r="G44" s="29">
        <v>1155.829</v>
      </c>
      <c r="H44" s="29">
        <v>1155.829</v>
      </c>
      <c r="I44" s="29">
        <v>1155.829</v>
      </c>
      <c r="J44" s="29">
        <v>1155.829</v>
      </c>
      <c r="K44" s="29">
        <v>1155.829</v>
      </c>
      <c r="L44" s="29">
        <v>1155.829</v>
      </c>
      <c r="M44" s="29">
        <v>1155.829</v>
      </c>
      <c r="N44" s="29">
        <v>1155.829</v>
      </c>
      <c r="O44" s="29">
        <v>1155.829</v>
      </c>
    </row>
    <row r="45" spans="1:15">
      <c r="A45" t="s">
        <v>4</v>
      </c>
      <c r="B45" t="s">
        <v>40</v>
      </c>
      <c r="C45" t="s">
        <v>40</v>
      </c>
      <c r="D45">
        <v>0.30449999999999999</v>
      </c>
      <c r="E45">
        <v>0.30449999999999999</v>
      </c>
      <c r="F45">
        <v>0.30449999999999999</v>
      </c>
      <c r="G45">
        <v>0.30449999999999999</v>
      </c>
      <c r="H45">
        <v>0.30449999999999999</v>
      </c>
      <c r="I45">
        <v>0.30449999999999999</v>
      </c>
      <c r="J45">
        <v>0.30449999999999999</v>
      </c>
      <c r="K45">
        <v>0.30449999999999999</v>
      </c>
      <c r="L45">
        <v>0.30449999999999999</v>
      </c>
      <c r="M45">
        <v>0.30449999999999999</v>
      </c>
      <c r="N45">
        <v>0.30449999999999999</v>
      </c>
      <c r="O45">
        <v>0.30449999999999999</v>
      </c>
    </row>
    <row r="46" spans="1:15">
      <c r="A46" t="s">
        <v>4</v>
      </c>
      <c r="B46" t="s">
        <v>24</v>
      </c>
      <c r="C46" t="s">
        <v>54</v>
      </c>
      <c r="D46">
        <f t="shared" ref="D46:I46" si="60">SUM(D37,D42)</f>
        <v>2.2315</v>
      </c>
      <c r="E46">
        <f t="shared" si="60"/>
        <v>2.2500999999999998</v>
      </c>
      <c r="F46">
        <f t="shared" si="60"/>
        <v>2.2302</v>
      </c>
      <c r="G46">
        <f t="shared" si="60"/>
        <v>2.2302</v>
      </c>
      <c r="H46">
        <f t="shared" si="60"/>
        <v>2.2302</v>
      </c>
      <c r="I46">
        <f t="shared" si="60"/>
        <v>2.2603</v>
      </c>
      <c r="J46">
        <f t="shared" ref="J46:K46" si="61">SUM(J37,J42)</f>
        <v>2.2603</v>
      </c>
      <c r="K46">
        <f t="shared" si="61"/>
        <v>2.2603</v>
      </c>
      <c r="L46">
        <f t="shared" ref="L46:M46" si="62">SUM(L37,L42)</f>
        <v>1.9904999999999999</v>
      </c>
      <c r="M46">
        <f t="shared" si="62"/>
        <v>1.9904999999999999</v>
      </c>
      <c r="N46">
        <f t="shared" ref="N46:O46" si="63">SUM(N37,N42)</f>
        <v>1.9904999999999999</v>
      </c>
      <c r="O46">
        <f t="shared" si="63"/>
        <v>1.9613</v>
      </c>
    </row>
    <row r="47" spans="1:15" s="6" customFormat="1">
      <c r="A47" s="6" t="s">
        <v>42</v>
      </c>
      <c r="B47" s="6" t="s">
        <v>43</v>
      </c>
      <c r="C47" s="6" t="s">
        <v>44</v>
      </c>
      <c r="D47" s="27">
        <v>0.11</v>
      </c>
      <c r="E47" s="27">
        <v>0.11</v>
      </c>
      <c r="F47" s="27">
        <v>0.11</v>
      </c>
      <c r="G47" s="27">
        <v>0.11</v>
      </c>
      <c r="H47" s="27">
        <v>0.11</v>
      </c>
      <c r="I47" s="27">
        <v>0.11</v>
      </c>
      <c r="J47" s="27">
        <v>0.11</v>
      </c>
      <c r="K47" s="27">
        <v>0.11</v>
      </c>
      <c r="L47" s="27">
        <v>0.11</v>
      </c>
      <c r="M47" s="27">
        <v>0.11</v>
      </c>
      <c r="N47" s="27">
        <v>0.11</v>
      </c>
      <c r="O47" s="27">
        <v>0.11</v>
      </c>
    </row>
    <row r="48" spans="1:15">
      <c r="A48" t="s">
        <v>42</v>
      </c>
      <c r="B48" t="s">
        <v>45</v>
      </c>
      <c r="C48" t="s">
        <v>46</v>
      </c>
      <c r="D48" s="23">
        <f>ROUND((D38*D39*D47)/D41,4)</f>
        <v>1.7908999999999999</v>
      </c>
      <c r="E48" s="23">
        <f t="shared" ref="E48:I48" si="64">ROUND((E38*E39*E47)/E41,4)</f>
        <v>1.7908999999999999</v>
      </c>
      <c r="F48" s="23">
        <f t="shared" si="64"/>
        <v>1.7726</v>
      </c>
      <c r="G48" s="23">
        <f t="shared" si="64"/>
        <v>1.7726</v>
      </c>
      <c r="H48" s="23">
        <f t="shared" si="64"/>
        <v>1.7726</v>
      </c>
      <c r="I48" s="23">
        <f t="shared" si="64"/>
        <v>1.8004</v>
      </c>
      <c r="J48" s="23">
        <f t="shared" ref="J48" si="65">ROUND((J38*J39*J47)/J41,4)</f>
        <v>1.8004</v>
      </c>
      <c r="K48" s="23">
        <f t="shared" ref="K48:L48" si="66">ROUND((K38*K39*K47)/K41,4)</f>
        <v>1.8004</v>
      </c>
      <c r="L48" s="23">
        <f t="shared" si="66"/>
        <v>1.5509999999999999</v>
      </c>
      <c r="M48" s="23">
        <f t="shared" ref="M48:N48" si="67">ROUND((M38*M39*M47)/M41,4)</f>
        <v>1.5509999999999999</v>
      </c>
      <c r="N48" s="23">
        <f t="shared" si="67"/>
        <v>1.5509999999999999</v>
      </c>
      <c r="O48" s="23">
        <f t="shared" ref="O48" si="68">ROUND((O38*O39*O47)/O41,4)</f>
        <v>1.524</v>
      </c>
    </row>
    <row r="49" spans="1:15">
      <c r="A49" t="s">
        <v>42</v>
      </c>
      <c r="B49" t="s">
        <v>47</v>
      </c>
      <c r="C49" s="26" t="s">
        <v>55</v>
      </c>
      <c r="D49" s="23">
        <f t="shared" ref="D49:I49" si="69">D48+D42</f>
        <v>2.0848999999999998</v>
      </c>
      <c r="E49" s="23">
        <f t="shared" si="69"/>
        <v>2.1034999999999999</v>
      </c>
      <c r="F49" s="23">
        <f t="shared" si="69"/>
        <v>2.0851999999999999</v>
      </c>
      <c r="G49" s="23">
        <f t="shared" si="69"/>
        <v>2.0851999999999999</v>
      </c>
      <c r="H49" s="23">
        <f t="shared" si="69"/>
        <v>2.0851999999999999</v>
      </c>
      <c r="I49" s="23">
        <f t="shared" si="69"/>
        <v>2.113</v>
      </c>
      <c r="J49" s="23">
        <f t="shared" ref="J49" si="70">J48+J42</f>
        <v>2.113</v>
      </c>
      <c r="K49" s="23">
        <f t="shared" ref="K49:L49" si="71">K48+K42</f>
        <v>2.113</v>
      </c>
      <c r="L49" s="23">
        <f t="shared" si="71"/>
        <v>1.8635999999999999</v>
      </c>
      <c r="M49" s="23">
        <f t="shared" ref="M49:N49" si="72">M48+M42</f>
        <v>1.8635999999999999</v>
      </c>
      <c r="N49" s="23">
        <f t="shared" si="72"/>
        <v>1.8635999999999999</v>
      </c>
      <c r="O49" s="23">
        <f t="shared" ref="O49" si="73">O48+O42</f>
        <v>1.8366</v>
      </c>
    </row>
    <row r="50" spans="1:15">
      <c r="A50" t="s">
        <v>26</v>
      </c>
      <c r="B50" t="s">
        <v>49</v>
      </c>
      <c r="C50" t="s">
        <v>56</v>
      </c>
      <c r="D50" s="48">
        <f>ROUND(1.5*D37+D42,4)</f>
        <v>3.2002999999999999</v>
      </c>
      <c r="E50" s="48">
        <f t="shared" ref="E50:I50" si="74">ROUND(1.5*E37+E42,4)</f>
        <v>3.2189000000000001</v>
      </c>
      <c r="F50" s="48">
        <f t="shared" si="74"/>
        <v>3.1890000000000001</v>
      </c>
      <c r="G50" s="48">
        <f t="shared" si="74"/>
        <v>3.1890000000000001</v>
      </c>
      <c r="H50" s="48">
        <f t="shared" si="74"/>
        <v>3.1890000000000001</v>
      </c>
      <c r="I50" s="48">
        <f t="shared" si="74"/>
        <v>3.2342</v>
      </c>
      <c r="J50" s="48">
        <f t="shared" ref="J50:K50" si="75">ROUND(1.5*J37+J42,4)</f>
        <v>3.2342</v>
      </c>
      <c r="K50" s="48">
        <f t="shared" si="75"/>
        <v>3.2342</v>
      </c>
      <c r="L50" s="48">
        <f t="shared" ref="L50:M50" si="76">ROUND(1.5*L37+L42,4)</f>
        <v>2.8294999999999999</v>
      </c>
      <c r="M50" s="48">
        <f t="shared" si="76"/>
        <v>2.8294999999999999</v>
      </c>
      <c r="N50" s="48">
        <f t="shared" ref="N50:O50" si="77">ROUND(1.5*N37+N42,4)</f>
        <v>2.8294999999999999</v>
      </c>
      <c r="O50" s="48">
        <f t="shared" si="77"/>
        <v>2.7856999999999998</v>
      </c>
    </row>
    <row r="51" spans="1:15">
      <c r="A51" t="s">
        <v>26</v>
      </c>
      <c r="B51" t="s">
        <v>51</v>
      </c>
      <c r="C51" t="s">
        <v>57</v>
      </c>
      <c r="D51" s="48">
        <f>ROUND(2*D37+D42,4)</f>
        <v>4.1689999999999996</v>
      </c>
      <c r="E51" s="48">
        <f t="shared" ref="E51:I51" si="78">ROUND(2*E37+E42,4)</f>
        <v>4.1875999999999998</v>
      </c>
      <c r="F51" s="48">
        <f t="shared" si="78"/>
        <v>4.1478000000000002</v>
      </c>
      <c r="G51" s="48">
        <f t="shared" si="78"/>
        <v>4.1478000000000002</v>
      </c>
      <c r="H51" s="48">
        <f t="shared" si="78"/>
        <v>4.1478000000000002</v>
      </c>
      <c r="I51" s="48">
        <f t="shared" si="78"/>
        <v>4.2080000000000002</v>
      </c>
      <c r="J51" s="48">
        <f t="shared" ref="J51:K51" si="79">ROUND(2*J37+J42,4)</f>
        <v>4.2080000000000002</v>
      </c>
      <c r="K51" s="48">
        <f t="shared" si="79"/>
        <v>4.2080000000000002</v>
      </c>
      <c r="L51" s="48">
        <f t="shared" ref="L51:M51" si="80">ROUND(2*L37+L42,4)</f>
        <v>3.6684000000000001</v>
      </c>
      <c r="M51" s="48">
        <f t="shared" si="80"/>
        <v>3.6684000000000001</v>
      </c>
      <c r="N51" s="48">
        <f t="shared" ref="N51:O51" si="81">ROUND(2*N37+N42,4)</f>
        <v>3.6684000000000001</v>
      </c>
      <c r="O51" s="48">
        <f t="shared" si="81"/>
        <v>3.61</v>
      </c>
    </row>
    <row r="52" spans="1:15" s="7" customFormat="1">
      <c r="A52"/>
      <c r="F52" s="28"/>
    </row>
    <row r="54" spans="1:15">
      <c r="A54" t="s">
        <v>2</v>
      </c>
      <c r="C54" s="34" t="s">
        <v>58</v>
      </c>
      <c r="D54" s="38">
        <v>45627</v>
      </c>
      <c r="E54" s="38">
        <v>45658</v>
      </c>
      <c r="F54" s="38">
        <v>45689</v>
      </c>
      <c r="G54" s="38">
        <v>45717</v>
      </c>
      <c r="H54" s="38">
        <v>45748</v>
      </c>
      <c r="I54" s="38">
        <v>45778</v>
      </c>
      <c r="J54" s="38">
        <v>45809</v>
      </c>
      <c r="K54" s="38">
        <v>45839</v>
      </c>
      <c r="L54" s="38">
        <v>45870</v>
      </c>
      <c r="M54" s="38">
        <v>45901</v>
      </c>
      <c r="N54" s="38">
        <v>45931</v>
      </c>
      <c r="O54" s="38">
        <v>45962</v>
      </c>
    </row>
    <row r="55" spans="1:15">
      <c r="A55" t="s">
        <v>4</v>
      </c>
      <c r="B55" t="s">
        <v>5</v>
      </c>
      <c r="C55" t="s">
        <v>33</v>
      </c>
      <c r="D55">
        <f t="shared" ref="D55:G55" si="82">ROUND(D58*D57*D56/D59,4)</f>
        <v>2.1002999999999998</v>
      </c>
      <c r="E55">
        <f t="shared" si="82"/>
        <v>2.1002999999999998</v>
      </c>
      <c r="F55">
        <f t="shared" si="82"/>
        <v>2.0788000000000002</v>
      </c>
      <c r="G55">
        <f t="shared" si="82"/>
        <v>2.0788000000000002</v>
      </c>
      <c r="H55">
        <f t="shared" ref="H55" si="83">ROUND(H58*H57*H56/H59,4)</f>
        <v>2.0788000000000002</v>
      </c>
      <c r="I55">
        <f t="shared" ref="I55:J55" si="84">ROUND(I58*I57*I56/I59,4)</f>
        <v>2.1114000000000002</v>
      </c>
      <c r="J55">
        <f t="shared" si="84"/>
        <v>2.1114000000000002</v>
      </c>
      <c r="K55">
        <f t="shared" ref="K55:L55" si="85">ROUND(K58*K57*K56/K59,4)</f>
        <v>2.1114000000000002</v>
      </c>
      <c r="L55">
        <f t="shared" si="85"/>
        <v>1.8189</v>
      </c>
      <c r="M55">
        <f t="shared" ref="M55:N55" si="86">ROUND(M58*M57*M56/M59,4)</f>
        <v>1.8189</v>
      </c>
      <c r="N55">
        <f t="shared" si="86"/>
        <v>1.8189</v>
      </c>
      <c r="O55">
        <f t="shared" ref="O55" si="87">ROUND(O58*O57*O56/O59,4)</f>
        <v>1.7873000000000001</v>
      </c>
    </row>
    <row r="56" spans="1:15">
      <c r="A56" t="s">
        <v>4</v>
      </c>
      <c r="B56" t="s">
        <v>7</v>
      </c>
      <c r="C56" t="s">
        <v>34</v>
      </c>
      <c r="D56">
        <f>Indicadores!M7</f>
        <v>5.5453999999999999</v>
      </c>
      <c r="E56">
        <f>Indicadores!N7</f>
        <v>5.5453999999999999</v>
      </c>
      <c r="F56">
        <f>Indicadores!O7</f>
        <v>5.8369</v>
      </c>
      <c r="G56">
        <f>Indicadores!P7</f>
        <v>5.8369</v>
      </c>
      <c r="H56">
        <f>Indicadores!Q7</f>
        <v>5.8369</v>
      </c>
      <c r="I56">
        <f>Indicadores!R7</f>
        <v>5.8521999999999998</v>
      </c>
      <c r="J56">
        <f>Indicadores!S7</f>
        <v>5.8521999999999998</v>
      </c>
      <c r="K56">
        <f>Indicadores!T7</f>
        <v>5.8521999999999998</v>
      </c>
      <c r="L56">
        <f>Indicadores!U7</f>
        <v>5.6661000000000001</v>
      </c>
      <c r="M56">
        <f>Indicadores!V7</f>
        <v>5.6661000000000001</v>
      </c>
      <c r="N56">
        <f>Indicadores!W7</f>
        <v>5.6661000000000001</v>
      </c>
      <c r="O56">
        <f>Indicadores!X7</f>
        <v>5.4488000000000003</v>
      </c>
    </row>
    <row r="57" spans="1:15">
      <c r="A57" t="s">
        <v>4</v>
      </c>
      <c r="B57" t="s">
        <v>9</v>
      </c>
      <c r="C57" t="s">
        <v>36</v>
      </c>
      <c r="D57">
        <f>Indicadores!M2</f>
        <v>78.708500000000001</v>
      </c>
      <c r="E57">
        <f>Indicadores!N2</f>
        <v>78.708500000000001</v>
      </c>
      <c r="F57">
        <f>Indicadores!O2</f>
        <v>74.012200000000007</v>
      </c>
      <c r="G57">
        <f>Indicadores!P2</f>
        <v>74.012200000000007</v>
      </c>
      <c r="H57">
        <f>Indicadores!Q2</f>
        <v>74.012200000000007</v>
      </c>
      <c r="I57">
        <f>Indicadores!R2</f>
        <v>74.977500000000006</v>
      </c>
      <c r="J57">
        <f>Indicadores!S2</f>
        <v>74.977500000000006</v>
      </c>
      <c r="K57">
        <f>Indicadores!T2</f>
        <v>74.977500000000006</v>
      </c>
      <c r="L57">
        <f>Indicadores!U2</f>
        <v>66.7119</v>
      </c>
      <c r="M57">
        <f>Indicadores!V2</f>
        <v>66.7119</v>
      </c>
      <c r="N57">
        <f>Indicadores!W2</f>
        <v>66.7119</v>
      </c>
      <c r="O57">
        <f>Indicadores!X2</f>
        <v>68.165000000000006</v>
      </c>
    </row>
    <row r="58" spans="1:15">
      <c r="A58" t="s">
        <v>4</v>
      </c>
      <c r="B58" t="s">
        <v>11</v>
      </c>
      <c r="C58" t="s">
        <v>12</v>
      </c>
      <c r="D58" s="4">
        <v>0.129</v>
      </c>
      <c r="E58" s="4">
        <v>0.129</v>
      </c>
      <c r="F58" s="4">
        <v>0.129</v>
      </c>
      <c r="G58" s="4">
        <v>0.129</v>
      </c>
      <c r="H58" s="4">
        <v>0.129</v>
      </c>
      <c r="I58" s="4">
        <v>0.129</v>
      </c>
      <c r="J58" s="4">
        <v>0.129</v>
      </c>
      <c r="K58" s="4">
        <v>0.129</v>
      </c>
      <c r="L58" s="4">
        <v>0.129</v>
      </c>
      <c r="M58" s="4">
        <v>0.129</v>
      </c>
      <c r="N58" s="4">
        <v>0.129</v>
      </c>
      <c r="O58" s="4">
        <v>0.129</v>
      </c>
    </row>
    <row r="59" spans="1:15">
      <c r="A59" t="s">
        <v>4</v>
      </c>
      <c r="B59" t="s">
        <v>13</v>
      </c>
      <c r="C59" t="s">
        <v>14</v>
      </c>
      <c r="D59">
        <v>26.8081</v>
      </c>
      <c r="E59">
        <v>26.8081</v>
      </c>
      <c r="F59">
        <v>26.8081</v>
      </c>
      <c r="G59">
        <v>26.8081</v>
      </c>
      <c r="H59">
        <v>26.8081</v>
      </c>
      <c r="I59">
        <v>26.8081</v>
      </c>
      <c r="J59">
        <v>26.8081</v>
      </c>
      <c r="K59">
        <v>26.8081</v>
      </c>
      <c r="L59">
        <v>26.8081</v>
      </c>
      <c r="M59">
        <v>26.8081</v>
      </c>
      <c r="N59">
        <v>26.8081</v>
      </c>
      <c r="O59">
        <v>26.8081</v>
      </c>
    </row>
    <row r="60" spans="1:15">
      <c r="A60" t="s">
        <v>4</v>
      </c>
      <c r="B60" t="s">
        <v>15</v>
      </c>
      <c r="C60" t="s">
        <v>16</v>
      </c>
      <c r="D60">
        <f t="shared" ref="D60" si="88">ROUND(D63*D61/D62,4)</f>
        <v>0.3795</v>
      </c>
      <c r="E60">
        <f t="shared" ref="E60" si="89">ROUND(E63*E61/E62,4)</f>
        <v>0.3795</v>
      </c>
      <c r="F60">
        <f t="shared" ref="F60" si="90">ROUND(F63*F61/F62,4)</f>
        <v>0.3795</v>
      </c>
      <c r="G60">
        <f t="shared" ref="G60" si="91">ROUND(G63*G61/G62,4)</f>
        <v>0.3795</v>
      </c>
      <c r="H60">
        <f t="shared" ref="H60" si="92">ROUND(H63*H61/H62,4)</f>
        <v>0.3795</v>
      </c>
      <c r="I60">
        <f t="shared" ref="I60:J60" si="93">ROUND(I63*I61/I62,4)</f>
        <v>0.41210000000000002</v>
      </c>
      <c r="J60">
        <f t="shared" si="93"/>
        <v>0.41210000000000002</v>
      </c>
      <c r="K60">
        <f t="shared" ref="K60:L60" si="94">ROUND(K63*K61/K62,4)</f>
        <v>0.41210000000000002</v>
      </c>
      <c r="L60">
        <f t="shared" si="94"/>
        <v>0.41210000000000002</v>
      </c>
      <c r="M60">
        <f t="shared" ref="M60:N60" si="95">ROUND(M63*M61/M62,4)</f>
        <v>0.41210000000000002</v>
      </c>
      <c r="N60">
        <f t="shared" si="95"/>
        <v>0.41210000000000002</v>
      </c>
      <c r="O60">
        <f t="shared" ref="O60" si="96">ROUND(O63*O61/O62,4)</f>
        <v>0.41210000000000002</v>
      </c>
    </row>
    <row r="61" spans="1:15">
      <c r="A61" t="s">
        <v>4</v>
      </c>
      <c r="B61" t="s">
        <v>37</v>
      </c>
      <c r="C61" t="s">
        <v>38</v>
      </c>
      <c r="D61" s="29">
        <f>Indicadores!$D$11</f>
        <v>1113.837</v>
      </c>
      <c r="E61" s="29">
        <f>Indicadores!$D$11</f>
        <v>1113.837</v>
      </c>
      <c r="F61" s="29">
        <f>Indicadores!$D$11</f>
        <v>1113.837</v>
      </c>
      <c r="G61" s="29">
        <f>Indicadores!$D$11</f>
        <v>1113.837</v>
      </c>
      <c r="H61" s="29">
        <f>Indicadores!$D$11</f>
        <v>1113.837</v>
      </c>
      <c r="I61" s="29">
        <f>Indicadores!$P$11</f>
        <v>1209.432</v>
      </c>
      <c r="J61" s="29">
        <f>Indicadores!$P$11</f>
        <v>1209.432</v>
      </c>
      <c r="K61" s="29">
        <f>Indicadores!$P$11</f>
        <v>1209.432</v>
      </c>
      <c r="L61" s="29">
        <f>Indicadores!$P$11</f>
        <v>1209.432</v>
      </c>
      <c r="M61" s="29">
        <f>Indicadores!$P$11</f>
        <v>1209.432</v>
      </c>
      <c r="N61" s="29">
        <f>Indicadores!$P$11</f>
        <v>1209.432</v>
      </c>
      <c r="O61" s="29">
        <f>Indicadores!$P$11</f>
        <v>1209.432</v>
      </c>
    </row>
    <row r="62" spans="1:15">
      <c r="A62" t="s">
        <v>4</v>
      </c>
      <c r="B62" t="s">
        <v>39</v>
      </c>
      <c r="C62" t="s">
        <v>39</v>
      </c>
      <c r="D62" s="29">
        <v>771.90800000000002</v>
      </c>
      <c r="E62" s="29">
        <v>771.90800000000002</v>
      </c>
      <c r="F62" s="29">
        <v>771.90800000000002</v>
      </c>
      <c r="G62" s="29">
        <v>771.90800000000002</v>
      </c>
      <c r="H62" s="29">
        <v>771.90800000000002</v>
      </c>
      <c r="I62" s="29">
        <v>771.90800000000002</v>
      </c>
      <c r="J62" s="29">
        <v>771.90800000000002</v>
      </c>
      <c r="K62" s="29">
        <v>771.90800000000002</v>
      </c>
      <c r="L62" s="29">
        <v>771.90800000000002</v>
      </c>
      <c r="M62" s="29">
        <v>771.90800000000002</v>
      </c>
      <c r="N62" s="29">
        <v>771.90800000000002</v>
      </c>
      <c r="O62" s="29">
        <v>771.90800000000002</v>
      </c>
    </row>
    <row r="63" spans="1:15">
      <c r="A63" t="s">
        <v>4</v>
      </c>
      <c r="B63" t="s">
        <v>40</v>
      </c>
      <c r="C63" t="s">
        <v>40</v>
      </c>
      <c r="D63" s="23">
        <v>0.26300000000000001</v>
      </c>
      <c r="E63" s="23">
        <v>0.26300000000000001</v>
      </c>
      <c r="F63" s="23">
        <v>0.26300000000000001</v>
      </c>
      <c r="G63" s="23">
        <v>0.26300000000000001</v>
      </c>
      <c r="H63" s="23">
        <v>0.26300000000000001</v>
      </c>
      <c r="I63" s="23">
        <v>0.26300000000000001</v>
      </c>
      <c r="J63" s="23">
        <v>0.26300000000000001</v>
      </c>
      <c r="K63" s="23">
        <v>0.26300000000000001</v>
      </c>
      <c r="L63" s="23">
        <v>0.26300000000000001</v>
      </c>
      <c r="M63" s="23">
        <v>0.26300000000000001</v>
      </c>
      <c r="N63" s="23">
        <v>0.26300000000000001</v>
      </c>
      <c r="O63" s="23">
        <v>0.26300000000000001</v>
      </c>
    </row>
    <row r="64" spans="1:15">
      <c r="A64" t="s">
        <v>4</v>
      </c>
      <c r="B64" t="s">
        <v>24</v>
      </c>
      <c r="C64" t="s">
        <v>59</v>
      </c>
      <c r="D64">
        <f t="shared" ref="D64:I64" si="97">SUM(D55,D60)</f>
        <v>2.4798</v>
      </c>
      <c r="E64">
        <f t="shared" si="97"/>
        <v>2.4798</v>
      </c>
      <c r="F64">
        <f t="shared" si="97"/>
        <v>2.4583000000000004</v>
      </c>
      <c r="G64">
        <f t="shared" si="97"/>
        <v>2.4583000000000004</v>
      </c>
      <c r="H64">
        <f t="shared" si="97"/>
        <v>2.4583000000000004</v>
      </c>
      <c r="I64">
        <f t="shared" si="97"/>
        <v>2.5235000000000003</v>
      </c>
      <c r="J64">
        <f t="shared" ref="J64:K64" si="98">SUM(J55,J60)</f>
        <v>2.5235000000000003</v>
      </c>
      <c r="K64">
        <f t="shared" si="98"/>
        <v>2.5235000000000003</v>
      </c>
      <c r="L64" s="23">
        <f t="shared" ref="L64:M64" si="99">SUM(L55,L60)</f>
        <v>2.2309999999999999</v>
      </c>
      <c r="M64" s="23">
        <f t="shared" si="99"/>
        <v>2.2309999999999999</v>
      </c>
      <c r="N64" s="23">
        <f t="shared" ref="N64:O64" si="100">SUM(N55,N60)</f>
        <v>2.2309999999999999</v>
      </c>
      <c r="O64" s="23">
        <f t="shared" si="100"/>
        <v>2.1994000000000002</v>
      </c>
    </row>
    <row r="65" spans="1:15" s="6" customFormat="1">
      <c r="A65" s="6" t="s">
        <v>42</v>
      </c>
      <c r="B65" s="6" t="s">
        <v>43</v>
      </c>
      <c r="C65" s="6" t="s">
        <v>44</v>
      </c>
      <c r="D65" s="27">
        <v>0.11</v>
      </c>
      <c r="E65" s="27">
        <v>0.11</v>
      </c>
      <c r="F65" s="27">
        <v>0.11</v>
      </c>
      <c r="G65" s="27">
        <v>0.11</v>
      </c>
      <c r="H65" s="27">
        <v>0.11</v>
      </c>
      <c r="I65" s="27">
        <v>0.11</v>
      </c>
      <c r="J65" s="27">
        <v>0.11</v>
      </c>
      <c r="K65" s="27">
        <v>0.11</v>
      </c>
      <c r="L65" s="27">
        <v>0.11</v>
      </c>
      <c r="M65" s="27">
        <v>0.11</v>
      </c>
      <c r="N65" s="27">
        <v>0.11</v>
      </c>
      <c r="O65" s="27">
        <v>0.11</v>
      </c>
    </row>
    <row r="66" spans="1:15">
      <c r="A66" t="s">
        <v>42</v>
      </c>
      <c r="B66" t="s">
        <v>45</v>
      </c>
      <c r="C66" t="s">
        <v>46</v>
      </c>
      <c r="D66" s="23">
        <f t="shared" ref="D66" si="101">ROUND(D56*D57*D65/D59,4)</f>
        <v>1.7908999999999999</v>
      </c>
      <c r="E66" s="23">
        <f t="shared" ref="E66" si="102">ROUND(E56*E57*E65/E59,4)</f>
        <v>1.7908999999999999</v>
      </c>
      <c r="F66" s="23">
        <f t="shared" ref="F66" si="103">ROUND(F56*F57*F65/F59,4)</f>
        <v>1.7726</v>
      </c>
      <c r="G66" s="23">
        <f t="shared" ref="G66" si="104">ROUND(G56*G57*G65/G59,4)</f>
        <v>1.7726</v>
      </c>
      <c r="H66" s="23">
        <f t="shared" ref="H66" si="105">ROUND(H56*H57*H65/H59,4)</f>
        <v>1.7726</v>
      </c>
      <c r="I66" s="23">
        <f t="shared" ref="I66:J66" si="106">ROUND(I56*I57*I65/I59,4)</f>
        <v>1.8004</v>
      </c>
      <c r="J66" s="23">
        <f t="shared" si="106"/>
        <v>1.8004</v>
      </c>
      <c r="K66" s="23">
        <f t="shared" ref="K66:L66" si="107">ROUND(K56*K57*K65/K59,4)</f>
        <v>1.8004</v>
      </c>
      <c r="L66" s="23">
        <f t="shared" si="107"/>
        <v>1.5509999999999999</v>
      </c>
      <c r="M66" s="23">
        <f t="shared" ref="M66:N66" si="108">ROUND(M56*M57*M65/M59,4)</f>
        <v>1.5509999999999999</v>
      </c>
      <c r="N66" s="23">
        <f t="shared" si="108"/>
        <v>1.5509999999999999</v>
      </c>
      <c r="O66" s="23">
        <f t="shared" ref="O66" si="109">ROUND(O56*O57*O65/O59,4)</f>
        <v>1.524</v>
      </c>
    </row>
    <row r="67" spans="1:15">
      <c r="A67" t="s">
        <v>42</v>
      </c>
      <c r="B67" t="s">
        <v>47</v>
      </c>
      <c r="C67" s="26" t="s">
        <v>60</v>
      </c>
      <c r="D67" s="23">
        <f t="shared" ref="D67:I67" si="110">D66+D60</f>
        <v>2.1703999999999999</v>
      </c>
      <c r="E67" s="23">
        <f t="shared" si="110"/>
        <v>2.1703999999999999</v>
      </c>
      <c r="F67" s="23">
        <f t="shared" si="110"/>
        <v>2.1520999999999999</v>
      </c>
      <c r="G67" s="23">
        <f t="shared" si="110"/>
        <v>2.1520999999999999</v>
      </c>
      <c r="H67" s="23">
        <f t="shared" si="110"/>
        <v>2.1520999999999999</v>
      </c>
      <c r="I67" s="23">
        <f t="shared" si="110"/>
        <v>2.2124999999999999</v>
      </c>
      <c r="J67" s="23">
        <f t="shared" ref="J67:K67" si="111">J66+J60</f>
        <v>2.2124999999999999</v>
      </c>
      <c r="K67" s="23">
        <f t="shared" si="111"/>
        <v>2.2124999999999999</v>
      </c>
      <c r="L67" s="23">
        <f t="shared" ref="L67:M67" si="112">L66+L60</f>
        <v>1.9630999999999998</v>
      </c>
      <c r="M67" s="23">
        <f t="shared" si="112"/>
        <v>1.9630999999999998</v>
      </c>
      <c r="N67" s="23">
        <f t="shared" ref="N67:O67" si="113">N66+N60</f>
        <v>1.9630999999999998</v>
      </c>
      <c r="O67" s="23">
        <f t="shared" si="113"/>
        <v>1.9361000000000002</v>
      </c>
    </row>
    <row r="68" spans="1:15">
      <c r="A68" t="s">
        <v>26</v>
      </c>
      <c r="B68" t="s">
        <v>49</v>
      </c>
      <c r="C68" t="s">
        <v>61</v>
      </c>
      <c r="D68" s="48">
        <f t="shared" ref="D68:I68" si="114">ROUND(1.5*D55+D60,4)</f>
        <v>3.53</v>
      </c>
      <c r="E68" s="48">
        <f t="shared" si="114"/>
        <v>3.53</v>
      </c>
      <c r="F68" s="48">
        <f t="shared" si="114"/>
        <v>3.4977</v>
      </c>
      <c r="G68" s="48">
        <f t="shared" si="114"/>
        <v>3.4977</v>
      </c>
      <c r="H68" s="48">
        <f t="shared" si="114"/>
        <v>3.4977</v>
      </c>
      <c r="I68" s="48">
        <f t="shared" si="114"/>
        <v>3.5792000000000002</v>
      </c>
      <c r="J68" s="48">
        <f t="shared" ref="J68:K68" si="115">ROUND(1.5*J55+J60,4)</f>
        <v>3.5792000000000002</v>
      </c>
      <c r="K68" s="48">
        <f t="shared" si="115"/>
        <v>3.5792000000000002</v>
      </c>
      <c r="L68" s="48">
        <f t="shared" ref="L68:M68" si="116">ROUND(1.5*L55+L60,4)</f>
        <v>3.1404999999999998</v>
      </c>
      <c r="M68" s="48">
        <f t="shared" si="116"/>
        <v>3.1404999999999998</v>
      </c>
      <c r="N68" s="48">
        <f t="shared" ref="N68:O68" si="117">ROUND(1.5*N55+N60,4)</f>
        <v>3.1404999999999998</v>
      </c>
      <c r="O68" s="48">
        <f t="shared" si="117"/>
        <v>3.0931000000000002</v>
      </c>
    </row>
    <row r="69" spans="1:15">
      <c r="A69" t="s">
        <v>26</v>
      </c>
      <c r="B69" t="s">
        <v>51</v>
      </c>
      <c r="C69" t="s">
        <v>62</v>
      </c>
      <c r="D69" s="48">
        <f t="shared" ref="D69:I69" si="118">ROUND(2*D55+D60,4)</f>
        <v>4.5800999999999998</v>
      </c>
      <c r="E69" s="48">
        <f t="shared" si="118"/>
        <v>4.5800999999999998</v>
      </c>
      <c r="F69" s="48">
        <f t="shared" si="118"/>
        <v>4.5370999999999997</v>
      </c>
      <c r="G69" s="48">
        <f t="shared" si="118"/>
        <v>4.5370999999999997</v>
      </c>
      <c r="H69" s="48">
        <f t="shared" si="118"/>
        <v>4.5370999999999997</v>
      </c>
      <c r="I69" s="48">
        <f t="shared" si="118"/>
        <v>4.6349</v>
      </c>
      <c r="J69" s="48">
        <f t="shared" ref="J69:K69" si="119">ROUND(2*J55+J60,4)</f>
        <v>4.6349</v>
      </c>
      <c r="K69" s="48">
        <f t="shared" si="119"/>
        <v>4.6349</v>
      </c>
      <c r="L69" s="48">
        <f t="shared" ref="L69:M69" si="120">ROUND(2*L55+L60,4)</f>
        <v>4.0499000000000001</v>
      </c>
      <c r="M69" s="48">
        <f t="shared" si="120"/>
        <v>4.0499000000000001</v>
      </c>
      <c r="N69" s="48">
        <f t="shared" ref="N69:O69" si="121">ROUND(2*N55+N60,4)</f>
        <v>4.0499000000000001</v>
      </c>
      <c r="O69" s="48">
        <f t="shared" si="121"/>
        <v>3.9866999999999999</v>
      </c>
    </row>
    <row r="70" spans="1:15" s="7" customFormat="1">
      <c r="A70"/>
      <c r="F70" s="28"/>
    </row>
    <row r="72" spans="1:15">
      <c r="A72" t="s">
        <v>2</v>
      </c>
      <c r="C72" s="34" t="s">
        <v>71</v>
      </c>
      <c r="D72" s="38">
        <v>45627</v>
      </c>
      <c r="E72" s="38">
        <v>45658</v>
      </c>
      <c r="F72" s="38">
        <v>45689</v>
      </c>
      <c r="G72" s="38">
        <v>45717</v>
      </c>
      <c r="H72" s="38">
        <v>45748</v>
      </c>
      <c r="I72" s="38">
        <v>45778</v>
      </c>
      <c r="J72" s="38">
        <v>45809</v>
      </c>
      <c r="K72" s="38">
        <v>45839</v>
      </c>
      <c r="L72" s="38">
        <v>45870</v>
      </c>
      <c r="M72" s="38">
        <v>45901</v>
      </c>
      <c r="N72" s="38">
        <v>45931</v>
      </c>
      <c r="O72" s="38">
        <v>45962</v>
      </c>
    </row>
    <row r="73" spans="1:15">
      <c r="A73" t="s">
        <v>4</v>
      </c>
      <c r="B73" t="s">
        <v>63</v>
      </c>
      <c r="C73" t="s">
        <v>64</v>
      </c>
      <c r="D73" s="23">
        <v>2.1949999999999998</v>
      </c>
      <c r="E73" s="23">
        <f>ROUND(2.15*(1+D$75),3)</f>
        <v>2.339</v>
      </c>
      <c r="F73" s="23">
        <f>E73</f>
        <v>2.339</v>
      </c>
      <c r="G73" s="23">
        <f t="shared" ref="G73:O73" si="122">F73</f>
        <v>2.339</v>
      </c>
      <c r="H73" s="23">
        <f t="shared" si="122"/>
        <v>2.339</v>
      </c>
      <c r="I73" s="23">
        <f t="shared" si="122"/>
        <v>2.339</v>
      </c>
      <c r="J73" s="23">
        <f t="shared" si="122"/>
        <v>2.339</v>
      </c>
      <c r="K73" s="23">
        <f t="shared" si="122"/>
        <v>2.339</v>
      </c>
      <c r="L73" s="23">
        <f t="shared" si="122"/>
        <v>2.339</v>
      </c>
      <c r="M73" s="23">
        <f t="shared" si="122"/>
        <v>2.339</v>
      </c>
      <c r="N73" s="23">
        <f t="shared" si="122"/>
        <v>2.339</v>
      </c>
      <c r="O73" s="23">
        <f t="shared" si="122"/>
        <v>2.339</v>
      </c>
    </row>
    <row r="74" spans="1:15">
      <c r="A74" t="s">
        <v>4</v>
      </c>
      <c r="B74" t="s">
        <v>65</v>
      </c>
      <c r="C74" t="s">
        <v>66</v>
      </c>
      <c r="D74" s="23">
        <v>0.13300000000000001</v>
      </c>
      <c r="E74" s="23">
        <f>ROUND(0.13*(1+D$75),3)</f>
        <v>0.14099999999999999</v>
      </c>
      <c r="F74" s="23">
        <f>E74</f>
        <v>0.14099999999999999</v>
      </c>
      <c r="G74" s="23">
        <f t="shared" ref="G74:O74" si="123">F74</f>
        <v>0.14099999999999999</v>
      </c>
      <c r="H74" s="23">
        <f t="shared" si="123"/>
        <v>0.14099999999999999</v>
      </c>
      <c r="I74" s="23">
        <f t="shared" si="123"/>
        <v>0.14099999999999999</v>
      </c>
      <c r="J74" s="23">
        <f t="shared" si="123"/>
        <v>0.14099999999999999</v>
      </c>
      <c r="K74" s="23">
        <f t="shared" si="123"/>
        <v>0.14099999999999999</v>
      </c>
      <c r="L74" s="23">
        <f t="shared" si="123"/>
        <v>0.14099999999999999</v>
      </c>
      <c r="M74" s="23">
        <f t="shared" si="123"/>
        <v>0.14099999999999999</v>
      </c>
      <c r="N74" s="23">
        <f t="shared" si="123"/>
        <v>0.14099999999999999</v>
      </c>
      <c r="O74" s="23">
        <f t="shared" si="123"/>
        <v>0.14099999999999999</v>
      </c>
    </row>
    <row r="75" spans="1:15">
      <c r="A75" t="s">
        <v>4</v>
      </c>
      <c r="B75" t="s">
        <v>67</v>
      </c>
      <c r="C75" t="s">
        <v>68</v>
      </c>
      <c r="D75" s="66">
        <f>Indicadores!$M$11/1100.988-1</f>
        <v>8.7715760753068972E-2</v>
      </c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</row>
    <row r="76" spans="1:15">
      <c r="A76" t="s">
        <v>4</v>
      </c>
      <c r="B76" t="s">
        <v>24</v>
      </c>
      <c r="C76" t="s">
        <v>69</v>
      </c>
      <c r="D76" s="23">
        <f t="shared" ref="D76:I76" si="124">SUM(D73:D74)</f>
        <v>2.3279999999999998</v>
      </c>
      <c r="E76" s="23">
        <f t="shared" si="124"/>
        <v>2.48</v>
      </c>
      <c r="F76" s="23">
        <f t="shared" si="124"/>
        <v>2.48</v>
      </c>
      <c r="G76" s="23">
        <f t="shared" si="124"/>
        <v>2.48</v>
      </c>
      <c r="H76" s="23">
        <f t="shared" si="124"/>
        <v>2.48</v>
      </c>
      <c r="I76" s="23">
        <f t="shared" si="124"/>
        <v>2.48</v>
      </c>
      <c r="J76" s="23">
        <f t="shared" ref="J76:K76" si="125">SUM(J73:J74)</f>
        <v>2.48</v>
      </c>
      <c r="K76" s="23">
        <f t="shared" si="125"/>
        <v>2.48</v>
      </c>
      <c r="L76" s="23">
        <f t="shared" ref="L76:M76" si="126">SUM(L73:L74)</f>
        <v>2.48</v>
      </c>
      <c r="M76" s="23">
        <f t="shared" si="126"/>
        <v>2.48</v>
      </c>
      <c r="N76" s="23">
        <f t="shared" ref="N76:O76" si="127">SUM(N73:N74)</f>
        <v>2.48</v>
      </c>
      <c r="O76" s="23">
        <f t="shared" si="127"/>
        <v>2.48</v>
      </c>
    </row>
    <row r="77" spans="1:15">
      <c r="A77" t="s">
        <v>26</v>
      </c>
      <c r="B77" t="s">
        <v>27</v>
      </c>
      <c r="C77" t="s">
        <v>70</v>
      </c>
    </row>
    <row r="79" spans="1:15">
      <c r="A79" t="s">
        <v>2</v>
      </c>
      <c r="C79" s="7" t="s">
        <v>311</v>
      </c>
      <c r="D79" s="38">
        <v>45627</v>
      </c>
      <c r="E79" s="38">
        <v>45658</v>
      </c>
      <c r="F79" s="38">
        <v>45689</v>
      </c>
      <c r="G79" s="38">
        <v>45717</v>
      </c>
      <c r="H79" s="38">
        <v>45748</v>
      </c>
      <c r="I79" s="38">
        <v>45778</v>
      </c>
      <c r="J79" s="38">
        <v>45809</v>
      </c>
      <c r="K79" s="38">
        <v>45839</v>
      </c>
      <c r="L79" s="38">
        <v>45870</v>
      </c>
      <c r="M79" s="38">
        <v>45901</v>
      </c>
      <c r="N79" s="38">
        <v>45931</v>
      </c>
      <c r="O79" s="38">
        <v>45962</v>
      </c>
    </row>
    <row r="80" spans="1:15">
      <c r="A80" t="s">
        <v>4</v>
      </c>
      <c r="B80" t="s">
        <v>63</v>
      </c>
      <c r="C80" t="s">
        <v>64</v>
      </c>
      <c r="D80" s="23">
        <v>2.88</v>
      </c>
      <c r="E80" s="23">
        <v>2.88</v>
      </c>
      <c r="F80" s="23">
        <v>2.88</v>
      </c>
      <c r="G80" s="23">
        <v>2.88</v>
      </c>
      <c r="H80" s="23">
        <v>2.88</v>
      </c>
      <c r="I80" s="23">
        <f t="shared" ref="I80:O80" si="128">ROUND((1+$H82)*H80,3)</f>
        <v>2.88</v>
      </c>
      <c r="J80" s="23">
        <f t="shared" si="128"/>
        <v>2.88</v>
      </c>
      <c r="K80" s="23">
        <f t="shared" si="128"/>
        <v>2.88</v>
      </c>
      <c r="L80" s="23">
        <f t="shared" si="128"/>
        <v>2.88</v>
      </c>
      <c r="M80" s="23">
        <f t="shared" si="128"/>
        <v>2.88</v>
      </c>
      <c r="N80" s="23">
        <f t="shared" si="128"/>
        <v>2.88</v>
      </c>
      <c r="O80" s="23">
        <f t="shared" si="128"/>
        <v>2.88</v>
      </c>
    </row>
    <row r="81" spans="1:15">
      <c r="A81" t="s">
        <v>4</v>
      </c>
      <c r="B81" t="s">
        <v>65</v>
      </c>
      <c r="C81" t="s">
        <v>66</v>
      </c>
      <c r="D81" s="23">
        <v>0.13300000000000001</v>
      </c>
      <c r="E81" s="23">
        <v>0.14099999999999999</v>
      </c>
      <c r="F81" s="23">
        <v>0.14099999999999999</v>
      </c>
      <c r="G81" s="23">
        <v>0.14099999999999999</v>
      </c>
      <c r="H81" s="23">
        <v>0.14099999999999999</v>
      </c>
      <c r="I81" s="23">
        <f t="shared" ref="I81:O81" si="129">ROUND((1+$H82)*H81,3)</f>
        <v>0.14099999999999999</v>
      </c>
      <c r="J81" s="23">
        <f t="shared" si="129"/>
        <v>0.14099999999999999</v>
      </c>
      <c r="K81" s="23">
        <f t="shared" si="129"/>
        <v>0.14099999999999999</v>
      </c>
      <c r="L81" s="23">
        <f t="shared" si="129"/>
        <v>0.14099999999999999</v>
      </c>
      <c r="M81" s="23">
        <f t="shared" si="129"/>
        <v>0.14099999999999999</v>
      </c>
      <c r="N81" s="23">
        <f t="shared" si="129"/>
        <v>0.14099999999999999</v>
      </c>
      <c r="O81" s="23">
        <f t="shared" si="129"/>
        <v>0.14099999999999999</v>
      </c>
    </row>
    <row r="82" spans="1:15">
      <c r="A82" t="s">
        <v>4</v>
      </c>
      <c r="B82" t="s">
        <v>67</v>
      </c>
      <c r="C82" t="s">
        <v>68</v>
      </c>
      <c r="D82" s="23"/>
      <c r="E82" s="23"/>
      <c r="F82" s="23"/>
      <c r="G82" s="23"/>
      <c r="H82" s="77"/>
      <c r="I82" s="23"/>
      <c r="J82" s="23"/>
      <c r="K82" s="23"/>
      <c r="L82" s="23"/>
      <c r="M82" s="23"/>
      <c r="N82" s="23"/>
      <c r="O82" s="23"/>
    </row>
    <row r="83" spans="1:15">
      <c r="A83" t="s">
        <v>4</v>
      </c>
      <c r="B83" t="s">
        <v>24</v>
      </c>
      <c r="C83" t="s">
        <v>69</v>
      </c>
      <c r="D83" s="23">
        <f t="shared" ref="D83:I83" si="130">SUM(D80:D81)</f>
        <v>3.0129999999999999</v>
      </c>
      <c r="E83" s="23">
        <f t="shared" si="130"/>
        <v>3.0209999999999999</v>
      </c>
      <c r="F83" s="23">
        <f t="shared" si="130"/>
        <v>3.0209999999999999</v>
      </c>
      <c r="G83" s="23">
        <f t="shared" si="130"/>
        <v>3.0209999999999999</v>
      </c>
      <c r="H83" s="23">
        <f t="shared" si="130"/>
        <v>3.0209999999999999</v>
      </c>
      <c r="I83" s="23">
        <f t="shared" si="130"/>
        <v>3.0209999999999999</v>
      </c>
      <c r="J83" s="23">
        <f t="shared" ref="J83:K83" si="131">SUM(J80:J81)</f>
        <v>3.0209999999999999</v>
      </c>
      <c r="K83" s="23">
        <f t="shared" si="131"/>
        <v>3.0209999999999999</v>
      </c>
      <c r="L83" s="23">
        <f t="shared" ref="L83:M83" si="132">SUM(L80:L81)</f>
        <v>3.0209999999999999</v>
      </c>
      <c r="M83" s="23">
        <f t="shared" si="132"/>
        <v>3.0209999999999999</v>
      </c>
      <c r="N83" s="23">
        <f t="shared" ref="N83:O83" si="133">SUM(N80:N81)</f>
        <v>3.0209999999999999</v>
      </c>
      <c r="O83" s="23">
        <f t="shared" si="133"/>
        <v>3.0209999999999999</v>
      </c>
    </row>
    <row r="84" spans="1:15">
      <c r="A84" t="s">
        <v>26</v>
      </c>
      <c r="B84" t="s">
        <v>27</v>
      </c>
      <c r="C84" t="s">
        <v>70</v>
      </c>
    </row>
    <row r="86" spans="1:15">
      <c r="C86" s="7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</row>
    <row r="87" spans="1:15"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</row>
    <row r="88" spans="1:15"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</row>
    <row r="89" spans="1:15"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</row>
    <row r="90" spans="1:15">
      <c r="D90" s="23"/>
      <c r="E90" s="23"/>
      <c r="F90" s="23"/>
      <c r="G90" s="23"/>
      <c r="H90" s="77"/>
      <c r="I90" s="23"/>
      <c r="J90" s="66"/>
      <c r="L90" s="23"/>
      <c r="M90" s="23"/>
      <c r="N90" s="23"/>
    </row>
    <row r="91" spans="1:15"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</row>
  </sheetData>
  <sheetProtection algorithmName="SHA-512" hashValue="EkZu2INEaO8tQpQSvGcG6LpaV2wv0fuMRSXfS8u+VDYvMTUR/RSLl13j9tfLmn+rJ2Z2G7Hy08hVaohiHMUPhQ==" saltValue="n0oauLNLYASElzKv6PfY2g==" spinCount="100000" sheet="1" objects="1" scenarios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79998168889431442"/>
  </sheetPr>
  <dimension ref="A1:H101"/>
  <sheetViews>
    <sheetView workbookViewId="0">
      <pane xSplit="2" ySplit="1" topLeftCell="C71" activePane="bottomRight" state="frozen"/>
      <selection pane="topRight" activeCell="D1" sqref="D1"/>
      <selection pane="bottomLeft" activeCell="A2" sqref="A2"/>
      <selection pane="bottomRight"/>
    </sheetView>
  </sheetViews>
  <sheetFormatPr defaultRowHeight="14.5"/>
  <cols>
    <col min="1" max="1" width="19.6328125" style="6" customWidth="1"/>
    <col min="2" max="2" width="44.36328125" style="6" bestFit="1" customWidth="1"/>
    <col min="3" max="8" width="11.08984375" customWidth="1"/>
  </cols>
  <sheetData>
    <row r="1" spans="1:8">
      <c r="B1" s="36" t="s">
        <v>249</v>
      </c>
      <c r="C1" s="38">
        <v>45992</v>
      </c>
      <c r="D1" s="38">
        <v>46023</v>
      </c>
      <c r="E1" s="38">
        <v>46054</v>
      </c>
      <c r="F1" s="38">
        <v>46082</v>
      </c>
      <c r="G1" s="38">
        <v>46113</v>
      </c>
      <c r="H1" s="38">
        <v>46143</v>
      </c>
    </row>
    <row r="2" spans="1:8">
      <c r="A2" s="8" t="s">
        <v>250</v>
      </c>
      <c r="B2" s="8" t="s">
        <v>3</v>
      </c>
      <c r="C2" s="84"/>
      <c r="D2" s="84"/>
      <c r="E2" s="84"/>
      <c r="F2" s="84"/>
      <c r="G2" s="84"/>
      <c r="H2" s="84"/>
    </row>
    <row r="3" spans="1:8">
      <c r="B3" s="6" t="s">
        <v>251</v>
      </c>
      <c r="C3" s="2">
        <f t="shared" ref="C3:H3" si="0">C4/C$94</f>
        <v>8.9159067882472132E-2</v>
      </c>
      <c r="D3" s="2">
        <f t="shared" si="0"/>
        <v>8.8235294117647065E-2</v>
      </c>
      <c r="E3" s="2">
        <f t="shared" si="0"/>
        <v>8.8235294117647065E-2</v>
      </c>
      <c r="F3" s="2">
        <f t="shared" si="0"/>
        <v>8.8235294117647065E-2</v>
      </c>
      <c r="G3" s="2">
        <f t="shared" si="0"/>
        <v>8.8235294117647065E-2</v>
      </c>
      <c r="H3" s="2">
        <f t="shared" si="0"/>
        <v>8.8235294117647065E-2</v>
      </c>
    </row>
    <row r="4" spans="1:8">
      <c r="A4" s="6" t="s">
        <v>252</v>
      </c>
      <c r="B4" s="6" t="s">
        <v>253</v>
      </c>
      <c r="C4" s="3">
        <f>88000*31</f>
        <v>2728000</v>
      </c>
      <c r="D4" s="3">
        <f>48000*31</f>
        <v>1488000</v>
      </c>
      <c r="E4" s="3">
        <f>48000*28</f>
        <v>1344000</v>
      </c>
      <c r="F4" s="3">
        <f>48000*31</f>
        <v>1488000</v>
      </c>
      <c r="G4" s="3">
        <f>48000*30</f>
        <v>1440000</v>
      </c>
      <c r="H4" s="3">
        <f t="shared" ref="H4" si="1">48000*31</f>
        <v>1488000</v>
      </c>
    </row>
    <row r="5" spans="1:8">
      <c r="A5" s="8" t="s">
        <v>254</v>
      </c>
      <c r="B5" s="8" t="s">
        <v>255</v>
      </c>
      <c r="C5" s="65">
        <f t="shared" ref="C5:H5" si="2">ROUND(C8*C7*C6/C9,4)</f>
        <v>1.7457</v>
      </c>
      <c r="D5" s="65">
        <f t="shared" si="2"/>
        <v>1.7457</v>
      </c>
      <c r="E5" s="65">
        <f t="shared" si="2"/>
        <v>1.5839000000000001</v>
      </c>
      <c r="F5" s="65">
        <f t="shared" si="2"/>
        <v>1.5839000000000001</v>
      </c>
      <c r="G5" s="65">
        <f t="shared" si="2"/>
        <v>1.5839000000000001</v>
      </c>
      <c r="H5" s="65">
        <f t="shared" si="2"/>
        <v>1.3940999999999999</v>
      </c>
    </row>
    <row r="6" spans="1:8">
      <c r="A6" s="6" t="s">
        <v>256</v>
      </c>
      <c r="B6" s="6" t="s">
        <v>257</v>
      </c>
      <c r="C6" s="23">
        <f>Indicadores!Y7</f>
        <v>5.4488000000000003</v>
      </c>
      <c r="D6" s="23">
        <f>Indicadores!Z7</f>
        <v>5.4488000000000003</v>
      </c>
      <c r="E6" s="23">
        <f>Indicadores!AA8</f>
        <v>5.3906000000000001</v>
      </c>
      <c r="F6" s="23">
        <f>Indicadores!AB8</f>
        <v>5.3906000000000001</v>
      </c>
      <c r="G6" s="23">
        <f>Indicadores!AC8</f>
        <v>5.3906000000000001</v>
      </c>
      <c r="H6" s="23">
        <f>Indicadores!AD8</f>
        <v>5.4592999999999998</v>
      </c>
    </row>
    <row r="7" spans="1:8">
      <c r="A7" s="6" t="s">
        <v>258</v>
      </c>
      <c r="B7" s="6" t="s">
        <v>259</v>
      </c>
      <c r="C7" s="23">
        <f>Indicadores!Y2</f>
        <v>68.165000000000006</v>
      </c>
      <c r="D7" s="23">
        <f>Indicadores!Z2</f>
        <v>68.165000000000006</v>
      </c>
      <c r="E7" s="23">
        <f>Indicadores!AA4</f>
        <v>62.514499999999998</v>
      </c>
      <c r="F7" s="23">
        <f>Indicadores!AB4</f>
        <v>62.514499999999998</v>
      </c>
      <c r="G7" s="23">
        <f>Indicadores!AC4</f>
        <v>62.514499999999998</v>
      </c>
      <c r="H7" s="23">
        <f>Indicadores!AD4</f>
        <v>54.333300000000001</v>
      </c>
    </row>
    <row r="8" spans="1:8">
      <c r="A8" s="6" t="s">
        <v>11</v>
      </c>
      <c r="B8" s="6" t="s">
        <v>12</v>
      </c>
      <c r="C8" s="4">
        <v>0.126</v>
      </c>
      <c r="D8" s="4">
        <v>0.126</v>
      </c>
      <c r="E8" s="4">
        <v>0.126</v>
      </c>
      <c r="F8" s="4">
        <v>0.126</v>
      </c>
      <c r="G8" s="4">
        <v>0.126</v>
      </c>
      <c r="H8" s="4">
        <v>0.126</v>
      </c>
    </row>
    <row r="9" spans="1:8">
      <c r="A9" s="6" t="s">
        <v>13</v>
      </c>
      <c r="B9" s="6" t="s">
        <v>14</v>
      </c>
      <c r="C9">
        <v>26.8081</v>
      </c>
      <c r="D9">
        <v>26.8081</v>
      </c>
      <c r="E9">
        <v>26.8081</v>
      </c>
      <c r="F9">
        <v>26.8081</v>
      </c>
      <c r="G9">
        <v>26.8081</v>
      </c>
      <c r="H9">
        <v>26.8081</v>
      </c>
    </row>
    <row r="10" spans="1:8">
      <c r="A10" s="8" t="s">
        <v>260</v>
      </c>
      <c r="B10" s="8" t="s">
        <v>261</v>
      </c>
      <c r="C10" s="65">
        <f t="shared" ref="C10:D10" si="3">ROUND((C11+C12+C13)/C9,4)</f>
        <v>0.249</v>
      </c>
      <c r="D10" s="65">
        <f t="shared" si="3"/>
        <v>0.24779999999999999</v>
      </c>
      <c r="E10" s="65">
        <f t="shared" ref="E10" si="4">ROUND((E11+E12+E13)/E9,4)</f>
        <v>0.24779999999999999</v>
      </c>
      <c r="F10" s="65">
        <f t="shared" ref="F10" si="5">ROUND((F11+F12+F13)/F9,4)</f>
        <v>0.24779999999999999</v>
      </c>
      <c r="G10" s="65">
        <f t="shared" ref="G10" si="6">ROUND((G11+G12+G13)/G9,4)</f>
        <v>0.24779999999999999</v>
      </c>
      <c r="H10" s="65">
        <f t="shared" ref="H10" si="7">ROUND((H11+H12+H13)/H9,4)</f>
        <v>0.24779999999999999</v>
      </c>
    </row>
    <row r="11" spans="1:8">
      <c r="A11" s="6" t="s">
        <v>262</v>
      </c>
      <c r="B11" s="6" t="s">
        <v>263</v>
      </c>
      <c r="C11">
        <f t="shared" ref="C11" si="8">6.1065+0.0212+0.0158</f>
        <v>6.1434999999999995</v>
      </c>
      <c r="D11" s="23">
        <f>C11*Indicadores!$Y$12/Indicadores!$M$11</f>
        <v>6.1130903708852857</v>
      </c>
      <c r="E11" s="23">
        <f t="shared" ref="E11:H13" si="9">D11</f>
        <v>6.1130903708852857</v>
      </c>
      <c r="F11" s="23">
        <f t="shared" si="9"/>
        <v>6.1130903708852857</v>
      </c>
      <c r="G11" s="23">
        <f t="shared" si="9"/>
        <v>6.1130903708852857</v>
      </c>
      <c r="H11" s="23">
        <f t="shared" si="9"/>
        <v>6.1130903708852857</v>
      </c>
    </row>
    <row r="12" spans="1:8">
      <c r="A12" s="6" t="s">
        <v>264</v>
      </c>
      <c r="B12" s="6" t="s">
        <v>265</v>
      </c>
      <c r="C12">
        <f t="shared" ref="C12" si="10">0.3028+0.0212+0.0158</f>
        <v>0.33979999999999999</v>
      </c>
      <c r="D12" s="23">
        <f>C12*Indicadores!$Y$12/Indicadores!$M$11</f>
        <v>0.33811802848975669</v>
      </c>
      <c r="E12" s="23">
        <f t="shared" si="9"/>
        <v>0.33811802848975669</v>
      </c>
      <c r="F12" s="23">
        <f t="shared" si="9"/>
        <v>0.33811802848975669</v>
      </c>
      <c r="G12" s="23">
        <f t="shared" si="9"/>
        <v>0.33811802848975669</v>
      </c>
      <c r="H12" s="23">
        <f t="shared" si="9"/>
        <v>0.33811802848975669</v>
      </c>
    </row>
    <row r="13" spans="1:8">
      <c r="A13" s="6" t="s">
        <v>266</v>
      </c>
      <c r="B13" s="6" t="s">
        <v>267</v>
      </c>
      <c r="C13">
        <v>0.19309999999999999</v>
      </c>
      <c r="D13" s="23">
        <f>C13*Indicadores!$Y$12/Indicadores!$M$11</f>
        <v>0.19214417687278401</v>
      </c>
      <c r="E13" s="23">
        <f t="shared" si="9"/>
        <v>0.19214417687278401</v>
      </c>
      <c r="F13" s="23">
        <f t="shared" si="9"/>
        <v>0.19214417687278401</v>
      </c>
      <c r="G13" s="23">
        <f t="shared" si="9"/>
        <v>0.19214417687278401</v>
      </c>
      <c r="H13" s="23">
        <f t="shared" si="9"/>
        <v>0.19214417687278401</v>
      </c>
    </row>
    <row r="14" spans="1:8">
      <c r="A14" s="8" t="s">
        <v>268</v>
      </c>
      <c r="B14" s="8" t="s">
        <v>269</v>
      </c>
      <c r="C14" s="65">
        <v>1.34E-2</v>
      </c>
      <c r="D14" s="65">
        <f>ROUND(C14*Indicadores!$Y$12/Indicadores!$M$11,4)</f>
        <v>1.3299999999999999E-2</v>
      </c>
      <c r="E14" s="65">
        <f>D14</f>
        <v>1.3299999999999999E-2</v>
      </c>
      <c r="F14" s="65">
        <f t="shared" ref="F14:H14" si="11">E14</f>
        <v>1.3299999999999999E-2</v>
      </c>
      <c r="G14" s="65">
        <f t="shared" si="11"/>
        <v>1.3299999999999999E-2</v>
      </c>
      <c r="H14" s="65">
        <f t="shared" si="11"/>
        <v>1.3299999999999999E-2</v>
      </c>
    </row>
    <row r="15" spans="1:8">
      <c r="A15" s="8" t="s">
        <v>273</v>
      </c>
      <c r="B15" s="8" t="s">
        <v>270</v>
      </c>
      <c r="C15" s="7">
        <f t="shared" ref="C15" si="12">SUM(C5,C10,C14)</f>
        <v>2.0080999999999998</v>
      </c>
      <c r="D15" s="65">
        <f t="shared" ref="D15:H15" si="13">SUM(D5,D10,D14)</f>
        <v>2.0068000000000001</v>
      </c>
      <c r="E15" s="65">
        <f t="shared" si="13"/>
        <v>1.8450000000000002</v>
      </c>
      <c r="F15" s="7">
        <f t="shared" si="13"/>
        <v>1.8450000000000002</v>
      </c>
      <c r="G15" s="7">
        <f t="shared" si="13"/>
        <v>1.8450000000000002</v>
      </c>
      <c r="H15" s="65">
        <f t="shared" si="13"/>
        <v>1.6552</v>
      </c>
    </row>
    <row r="17" spans="1:8">
      <c r="A17" s="8" t="s">
        <v>250</v>
      </c>
      <c r="B17" s="8" t="s">
        <v>32</v>
      </c>
      <c r="C17" s="1"/>
      <c r="D17" s="1"/>
      <c r="E17" s="1"/>
      <c r="F17" s="1"/>
      <c r="G17" s="1"/>
      <c r="H17" s="1"/>
    </row>
    <row r="18" spans="1:8">
      <c r="B18" s="6" t="s">
        <v>251</v>
      </c>
      <c r="C18" s="2">
        <f t="shared" ref="C18" si="14">C19/C$94</f>
        <v>0.37082066869300911</v>
      </c>
      <c r="D18" s="2"/>
      <c r="E18" s="2"/>
      <c r="F18" s="2"/>
      <c r="G18" s="2"/>
      <c r="H18" s="2"/>
    </row>
    <row r="19" spans="1:8">
      <c r="A19" s="6" t="s">
        <v>252</v>
      </c>
      <c r="B19" s="6" t="s">
        <v>253</v>
      </c>
      <c r="C19" s="3">
        <f>366000*31</f>
        <v>11346000</v>
      </c>
      <c r="D19" s="3"/>
      <c r="E19" s="3"/>
      <c r="F19" s="3"/>
      <c r="G19" s="3"/>
      <c r="H19" s="3"/>
    </row>
    <row r="20" spans="1:8">
      <c r="A20" s="8" t="s">
        <v>254</v>
      </c>
      <c r="B20" s="8" t="s">
        <v>33</v>
      </c>
      <c r="C20" s="7">
        <f t="shared" ref="C20" si="15">ROUND(C23*C22*C21/C24,4)</f>
        <v>1.6297999999999999</v>
      </c>
      <c r="D20" s="7"/>
      <c r="E20" s="7"/>
      <c r="F20" s="7"/>
      <c r="G20" s="7"/>
      <c r="H20" s="7"/>
    </row>
    <row r="21" spans="1:8">
      <c r="A21" s="6" t="s">
        <v>256</v>
      </c>
      <c r="B21" s="6" t="s">
        <v>34</v>
      </c>
      <c r="C21" s="23">
        <f>Indicadores!Y7</f>
        <v>5.4488000000000003</v>
      </c>
      <c r="D21" s="23"/>
      <c r="E21" s="23"/>
      <c r="F21" s="23"/>
      <c r="G21" s="23"/>
      <c r="H21" s="23"/>
    </row>
    <row r="22" spans="1:8">
      <c r="A22" s="6" t="s">
        <v>258</v>
      </c>
      <c r="B22" s="6" t="s">
        <v>36</v>
      </c>
      <c r="C22" s="23">
        <f>Indicadores!Y3</f>
        <v>69.1267</v>
      </c>
      <c r="D22" s="23"/>
      <c r="E22" s="23"/>
      <c r="F22" s="23"/>
      <c r="G22" s="23"/>
      <c r="H22" s="23"/>
    </row>
    <row r="23" spans="1:8">
      <c r="A23" s="6" t="s">
        <v>11</v>
      </c>
      <c r="B23" s="6" t="s">
        <v>12</v>
      </c>
      <c r="C23" s="4">
        <v>0.11600000000000001</v>
      </c>
      <c r="D23" s="4"/>
      <c r="E23" s="4"/>
      <c r="F23" s="4"/>
      <c r="G23" s="4"/>
      <c r="H23" s="4"/>
    </row>
    <row r="24" spans="1:8">
      <c r="A24" s="6" t="s">
        <v>13</v>
      </c>
      <c r="B24" s="6" t="s">
        <v>14</v>
      </c>
      <c r="C24">
        <v>26.8081</v>
      </c>
    </row>
    <row r="25" spans="1:8">
      <c r="A25" s="8" t="s">
        <v>260</v>
      </c>
      <c r="B25" s="8" t="s">
        <v>16</v>
      </c>
      <c r="C25" s="7">
        <f t="shared" ref="C25" si="16">ROUND(C28*C26/C27,4)</f>
        <v>0.41210000000000002</v>
      </c>
      <c r="D25" s="7"/>
      <c r="E25" s="7"/>
      <c r="F25" s="7"/>
      <c r="G25" s="7"/>
      <c r="H25" s="7"/>
    </row>
    <row r="26" spans="1:8">
      <c r="A26" s="6" t="s">
        <v>271</v>
      </c>
      <c r="B26" s="6" t="s">
        <v>272</v>
      </c>
      <c r="C26" s="29">
        <f>Indicadores!$P$11</f>
        <v>1209.432</v>
      </c>
      <c r="D26" s="29"/>
      <c r="E26" s="29"/>
      <c r="F26" s="29"/>
      <c r="G26" s="29"/>
      <c r="H26" s="29"/>
    </row>
    <row r="27" spans="1:8">
      <c r="A27" s="6" t="s">
        <v>39</v>
      </c>
      <c r="B27" s="6" t="s">
        <v>39</v>
      </c>
      <c r="C27" s="29">
        <v>771.90800000000002</v>
      </c>
      <c r="D27" s="29"/>
      <c r="E27" s="29"/>
      <c r="F27" s="29"/>
      <c r="G27" s="29"/>
      <c r="H27" s="29"/>
    </row>
    <row r="28" spans="1:8">
      <c r="A28" s="6" t="s">
        <v>40</v>
      </c>
      <c r="B28" s="6" t="s">
        <v>40</v>
      </c>
      <c r="C28" s="23">
        <v>0.26300000000000001</v>
      </c>
      <c r="D28" s="23"/>
      <c r="E28" s="23"/>
      <c r="F28" s="23"/>
      <c r="G28" s="23"/>
      <c r="H28" s="23"/>
    </row>
    <row r="29" spans="1:8">
      <c r="A29" s="8" t="s">
        <v>273</v>
      </c>
      <c r="B29" s="8" t="s">
        <v>274</v>
      </c>
      <c r="C29" s="65">
        <f t="shared" ref="C29" si="17">SUM(C25,C20)</f>
        <v>2.0419</v>
      </c>
      <c r="D29" s="65"/>
      <c r="E29" s="65"/>
      <c r="F29" s="65"/>
      <c r="G29" s="65"/>
      <c r="H29" s="65"/>
    </row>
    <row r="31" spans="1:8">
      <c r="A31" s="8" t="s">
        <v>250</v>
      </c>
      <c r="B31" s="8" t="s">
        <v>53</v>
      </c>
      <c r="C31" s="1"/>
      <c r="D31" s="1"/>
      <c r="E31" s="1"/>
      <c r="F31" s="1"/>
      <c r="G31" s="1"/>
      <c r="H31" s="1"/>
    </row>
    <row r="32" spans="1:8">
      <c r="B32" s="6" t="s">
        <v>251</v>
      </c>
      <c r="C32" s="2">
        <f t="shared" ref="C32:H32" si="18">C33/C$94</f>
        <v>0.32725430597771021</v>
      </c>
      <c r="D32" s="2">
        <f t="shared" si="18"/>
        <v>0.51286764705882348</v>
      </c>
      <c r="E32" s="2">
        <f t="shared" si="18"/>
        <v>0.51286764705882348</v>
      </c>
      <c r="F32" s="2">
        <f t="shared" si="18"/>
        <v>0.51286764705882348</v>
      </c>
      <c r="G32" s="2">
        <f t="shared" si="18"/>
        <v>0.51286764705882348</v>
      </c>
      <c r="H32" s="2">
        <f t="shared" si="18"/>
        <v>0.51286764705882348</v>
      </c>
    </row>
    <row r="33" spans="1:8">
      <c r="A33" s="6" t="s">
        <v>252</v>
      </c>
      <c r="B33" s="6" t="s">
        <v>253</v>
      </c>
      <c r="C33" s="3">
        <f>323000*31</f>
        <v>10013000</v>
      </c>
      <c r="D33" s="3">
        <f>279000*31</f>
        <v>8649000</v>
      </c>
      <c r="E33" s="3">
        <f>279000*28</f>
        <v>7812000</v>
      </c>
      <c r="F33" s="3">
        <f t="shared" ref="F33:H33" si="19">279000*31</f>
        <v>8649000</v>
      </c>
      <c r="G33" s="3">
        <f>279000*30</f>
        <v>8370000</v>
      </c>
      <c r="H33" s="3">
        <f t="shared" si="19"/>
        <v>8649000</v>
      </c>
    </row>
    <row r="34" spans="1:8">
      <c r="A34" s="8" t="s">
        <v>254</v>
      </c>
      <c r="B34" s="8" t="s">
        <v>33</v>
      </c>
      <c r="C34" s="7">
        <f t="shared" ref="C34" si="20">ROUND(C37*C36*C35/C38,4)</f>
        <v>1.6487000000000001</v>
      </c>
      <c r="D34" s="7">
        <f t="shared" ref="D34:H34" si="21">ROUND(D37*D36*D35/D38,4)</f>
        <v>1.6487000000000001</v>
      </c>
      <c r="E34" s="7">
        <f t="shared" si="21"/>
        <v>1.4959</v>
      </c>
      <c r="F34" s="7">
        <f t="shared" si="21"/>
        <v>1.4959</v>
      </c>
      <c r="G34" s="7">
        <f t="shared" si="21"/>
        <v>1.4959</v>
      </c>
      <c r="H34" s="7">
        <f t="shared" si="21"/>
        <v>1.3167</v>
      </c>
    </row>
    <row r="35" spans="1:8">
      <c r="A35" s="6" t="s">
        <v>256</v>
      </c>
      <c r="B35" s="6" t="s">
        <v>34</v>
      </c>
      <c r="C35" s="23">
        <f>Indicadores!Y7</f>
        <v>5.4488000000000003</v>
      </c>
      <c r="D35" s="23">
        <f>Indicadores!Z7</f>
        <v>5.4488000000000003</v>
      </c>
      <c r="E35" s="23">
        <f>Indicadores!AA8</f>
        <v>5.3906000000000001</v>
      </c>
      <c r="F35" s="23">
        <f>Indicadores!AB8</f>
        <v>5.3906000000000001</v>
      </c>
      <c r="G35" s="23">
        <f>Indicadores!AC8</f>
        <v>5.3906000000000001</v>
      </c>
      <c r="H35" s="23">
        <f>Indicadores!AD8</f>
        <v>5.4592999999999998</v>
      </c>
    </row>
    <row r="36" spans="1:8">
      <c r="A36" s="6" t="s">
        <v>258</v>
      </c>
      <c r="B36" s="6" t="s">
        <v>36</v>
      </c>
      <c r="C36" s="23">
        <f>Indicadores!Y2</f>
        <v>68.165000000000006</v>
      </c>
      <c r="D36" s="23">
        <f>Indicadores!Z2</f>
        <v>68.165000000000006</v>
      </c>
      <c r="E36" s="23">
        <f>Indicadores!AA4</f>
        <v>62.514499999999998</v>
      </c>
      <c r="F36" s="23">
        <f>Indicadores!AB4</f>
        <v>62.514499999999998</v>
      </c>
      <c r="G36" s="23">
        <f>Indicadores!AC4</f>
        <v>62.514499999999998</v>
      </c>
      <c r="H36" s="23">
        <f>Indicadores!AD4</f>
        <v>54.333300000000001</v>
      </c>
    </row>
    <row r="37" spans="1:8">
      <c r="A37" s="6" t="s">
        <v>11</v>
      </c>
      <c r="B37" s="6" t="s">
        <v>12</v>
      </c>
      <c r="C37" s="4">
        <v>0.11899999999999999</v>
      </c>
      <c r="D37" s="4">
        <v>0.11899999999999999</v>
      </c>
      <c r="E37" s="4">
        <v>0.11899999999999999</v>
      </c>
      <c r="F37" s="4">
        <v>0.11899999999999999</v>
      </c>
      <c r="G37" s="4">
        <v>0.11899999999999999</v>
      </c>
      <c r="H37" s="4">
        <v>0.11899999999999999</v>
      </c>
    </row>
    <row r="38" spans="1:8">
      <c r="A38" s="6" t="s">
        <v>13</v>
      </c>
      <c r="B38" s="6" t="s">
        <v>14</v>
      </c>
      <c r="C38">
        <v>26.8081</v>
      </c>
      <c r="D38">
        <v>26.8081</v>
      </c>
      <c r="E38">
        <v>26.8081</v>
      </c>
      <c r="F38">
        <v>26.8081</v>
      </c>
      <c r="G38">
        <v>26.8081</v>
      </c>
      <c r="H38">
        <v>26.8081</v>
      </c>
    </row>
    <row r="39" spans="1:8">
      <c r="A39" s="8" t="s">
        <v>260</v>
      </c>
      <c r="B39" s="8" t="s">
        <v>16</v>
      </c>
      <c r="C39" s="7">
        <f t="shared" ref="C39:D39" si="22">ROUND(C42*C40/C41,4)</f>
        <v>0.31259999999999999</v>
      </c>
      <c r="D39" s="7">
        <f t="shared" si="22"/>
        <v>0.31219999999999998</v>
      </c>
      <c r="E39" s="7">
        <f t="shared" ref="E39:H39" si="23">ROUND(E42*E40/E41,4)</f>
        <v>0.31219999999999998</v>
      </c>
      <c r="F39" s="7">
        <f t="shared" si="23"/>
        <v>0.31219999999999998</v>
      </c>
      <c r="G39" s="7">
        <f t="shared" si="23"/>
        <v>0.31219999999999998</v>
      </c>
      <c r="H39" s="7">
        <f t="shared" si="23"/>
        <v>0.31219999999999998</v>
      </c>
    </row>
    <row r="40" spans="1:8">
      <c r="A40" s="6" t="s">
        <v>271</v>
      </c>
      <c r="B40" s="6" t="s">
        <v>38</v>
      </c>
      <c r="C40" s="85">
        <f>Indicadores!$L$11</f>
        <v>1186.462</v>
      </c>
      <c r="D40" s="29">
        <f>Indicadores!$X$11</f>
        <v>1185.175</v>
      </c>
      <c r="E40" s="29">
        <f>Indicadores!$X$11</f>
        <v>1185.175</v>
      </c>
      <c r="F40" s="29">
        <f>Indicadores!$X$11</f>
        <v>1185.175</v>
      </c>
      <c r="G40" s="29">
        <f>Indicadores!$X$11</f>
        <v>1185.175</v>
      </c>
      <c r="H40" s="29">
        <f>Indicadores!$X$11</f>
        <v>1185.175</v>
      </c>
    </row>
    <row r="41" spans="1:8">
      <c r="A41" s="6" t="s">
        <v>39</v>
      </c>
      <c r="B41" s="6" t="s">
        <v>39</v>
      </c>
      <c r="C41" s="29">
        <v>1155.829</v>
      </c>
      <c r="D41" s="29">
        <v>1155.829</v>
      </c>
      <c r="E41" s="29">
        <v>1155.829</v>
      </c>
      <c r="F41" s="29">
        <v>1155.829</v>
      </c>
      <c r="G41" s="29">
        <v>1155.829</v>
      </c>
      <c r="H41" s="29">
        <v>1155.829</v>
      </c>
    </row>
    <row r="42" spans="1:8">
      <c r="A42" s="6" t="s">
        <v>40</v>
      </c>
      <c r="B42" s="6" t="s">
        <v>40</v>
      </c>
      <c r="C42">
        <v>0.30449999999999999</v>
      </c>
      <c r="D42">
        <v>0.30449999999999999</v>
      </c>
      <c r="E42">
        <v>0.30449999999999999</v>
      </c>
      <c r="F42">
        <v>0.30449999999999999</v>
      </c>
      <c r="G42">
        <v>0.30449999999999999</v>
      </c>
      <c r="H42">
        <v>0.30449999999999999</v>
      </c>
    </row>
    <row r="43" spans="1:8">
      <c r="A43" s="8" t="s">
        <v>273</v>
      </c>
      <c r="B43" s="8" t="s">
        <v>275</v>
      </c>
      <c r="C43" s="65">
        <f t="shared" ref="C43" si="24">SUM(C39,C34)</f>
        <v>1.9613</v>
      </c>
      <c r="D43" s="65">
        <f t="shared" ref="D43:H43" si="25">SUM(D39,D34)</f>
        <v>1.9609000000000001</v>
      </c>
      <c r="E43" s="65">
        <f t="shared" si="25"/>
        <v>1.8081</v>
      </c>
      <c r="F43" s="65">
        <f t="shared" si="25"/>
        <v>1.8081</v>
      </c>
      <c r="G43" s="65">
        <f t="shared" si="25"/>
        <v>1.8081</v>
      </c>
      <c r="H43" s="65">
        <f t="shared" si="25"/>
        <v>1.6289</v>
      </c>
    </row>
    <row r="45" spans="1:8">
      <c r="A45" s="8" t="s">
        <v>250</v>
      </c>
      <c r="B45" s="8" t="s">
        <v>58</v>
      </c>
      <c r="C45" s="1"/>
      <c r="D45" s="1"/>
      <c r="E45" s="1"/>
      <c r="F45" s="1"/>
      <c r="G45" s="1"/>
      <c r="H45" s="1"/>
    </row>
    <row r="46" spans="1:8">
      <c r="B46" s="6" t="s">
        <v>251</v>
      </c>
      <c r="C46" s="2">
        <f t="shared" ref="C46:H46" si="26">C47/C$94</f>
        <v>0.18237082066869301</v>
      </c>
      <c r="D46" s="2">
        <f t="shared" si="26"/>
        <v>0.2610294117647059</v>
      </c>
      <c r="E46" s="2">
        <f t="shared" si="26"/>
        <v>0.2610294117647059</v>
      </c>
      <c r="F46" s="2">
        <f t="shared" si="26"/>
        <v>0.2610294117647059</v>
      </c>
      <c r="G46" s="2">
        <f t="shared" si="26"/>
        <v>0.2610294117647059</v>
      </c>
      <c r="H46" s="2">
        <f t="shared" si="26"/>
        <v>0.2610294117647059</v>
      </c>
    </row>
    <row r="47" spans="1:8">
      <c r="A47" s="6" t="s">
        <v>252</v>
      </c>
      <c r="B47" s="6" t="s">
        <v>253</v>
      </c>
      <c r="C47" s="3">
        <f>180000*31</f>
        <v>5580000</v>
      </c>
      <c r="D47" s="3">
        <f>142000*31</f>
        <v>4402000</v>
      </c>
      <c r="E47" s="3">
        <f>142000*28</f>
        <v>3976000</v>
      </c>
      <c r="F47" s="3">
        <f>142000*31</f>
        <v>4402000</v>
      </c>
      <c r="G47" s="3">
        <f>142000*30</f>
        <v>4260000</v>
      </c>
      <c r="H47" s="3">
        <f t="shared" ref="H47" si="27">142000*31</f>
        <v>4402000</v>
      </c>
    </row>
    <row r="48" spans="1:8">
      <c r="A48" s="8" t="s">
        <v>254</v>
      </c>
      <c r="B48" s="8" t="s">
        <v>33</v>
      </c>
      <c r="C48" s="65">
        <f t="shared" ref="C48" si="28">ROUND(C51*C50*C49/C52,4)</f>
        <v>1.7873000000000001</v>
      </c>
      <c r="D48" s="65">
        <f t="shared" ref="D48:H48" si="29">ROUND(D51*D50*D49/D52,4)</f>
        <v>1.7873000000000001</v>
      </c>
      <c r="E48" s="65">
        <f t="shared" si="29"/>
        <v>1.6215999999999999</v>
      </c>
      <c r="F48" s="65">
        <f t="shared" si="29"/>
        <v>1.6215999999999999</v>
      </c>
      <c r="G48" s="65">
        <f t="shared" si="29"/>
        <v>1.6215999999999999</v>
      </c>
      <c r="H48" s="65">
        <f t="shared" si="29"/>
        <v>1.4273</v>
      </c>
    </row>
    <row r="49" spans="1:8">
      <c r="A49" s="6" t="s">
        <v>256</v>
      </c>
      <c r="B49" s="6" t="s">
        <v>34</v>
      </c>
      <c r="C49" s="23">
        <f>Indicadores!Y7</f>
        <v>5.4488000000000003</v>
      </c>
      <c r="D49" s="23">
        <f>Indicadores!Z7</f>
        <v>5.4488000000000003</v>
      </c>
      <c r="E49" s="23">
        <f>Indicadores!AA8</f>
        <v>5.3906000000000001</v>
      </c>
      <c r="F49" s="23">
        <f>Indicadores!AB8</f>
        <v>5.3906000000000001</v>
      </c>
      <c r="G49" s="23">
        <f>Indicadores!AC8</f>
        <v>5.3906000000000001</v>
      </c>
      <c r="H49" s="23">
        <f>Indicadores!AD8</f>
        <v>5.4592999999999998</v>
      </c>
    </row>
    <row r="50" spans="1:8">
      <c r="A50" s="6" t="s">
        <v>258</v>
      </c>
      <c r="B50" s="6" t="s">
        <v>36</v>
      </c>
      <c r="C50" s="23">
        <f>Indicadores!Y2</f>
        <v>68.165000000000006</v>
      </c>
      <c r="D50" s="23">
        <f>Indicadores!Z2</f>
        <v>68.165000000000006</v>
      </c>
      <c r="E50" s="23">
        <f>Indicadores!AA4</f>
        <v>62.514499999999998</v>
      </c>
      <c r="F50" s="23">
        <f>Indicadores!AB4</f>
        <v>62.514499999999998</v>
      </c>
      <c r="G50" s="23">
        <f>Indicadores!AC4</f>
        <v>62.514499999999998</v>
      </c>
      <c r="H50" s="23">
        <f>Indicadores!AD4</f>
        <v>54.333300000000001</v>
      </c>
    </row>
    <row r="51" spans="1:8">
      <c r="A51" s="6" t="s">
        <v>11</v>
      </c>
      <c r="B51" s="6" t="s">
        <v>12</v>
      </c>
      <c r="C51" s="4">
        <v>0.129</v>
      </c>
      <c r="D51" s="4">
        <v>0.129</v>
      </c>
      <c r="E51" s="4">
        <v>0.129</v>
      </c>
      <c r="F51" s="4">
        <v>0.129</v>
      </c>
      <c r="G51" s="4">
        <v>0.129</v>
      </c>
      <c r="H51" s="4">
        <v>0.129</v>
      </c>
    </row>
    <row r="52" spans="1:8">
      <c r="A52" s="6" t="s">
        <v>13</v>
      </c>
      <c r="B52" s="6" t="s">
        <v>14</v>
      </c>
      <c r="C52">
        <v>26.8081</v>
      </c>
      <c r="D52">
        <v>26.8081</v>
      </c>
      <c r="E52">
        <v>26.8081</v>
      </c>
      <c r="F52">
        <v>26.8081</v>
      </c>
      <c r="G52">
        <v>26.8081</v>
      </c>
      <c r="H52">
        <v>26.8081</v>
      </c>
    </row>
    <row r="53" spans="1:8">
      <c r="A53" s="8" t="s">
        <v>260</v>
      </c>
      <c r="B53" s="8" t="s">
        <v>16</v>
      </c>
      <c r="C53" s="7">
        <f t="shared" ref="C53" si="30">ROUND(C56*C54/C55,4)</f>
        <v>0.41210000000000002</v>
      </c>
      <c r="D53" s="7">
        <f t="shared" ref="D53:H53" si="31">ROUND(D56*D54/D55,4)</f>
        <v>0.41210000000000002</v>
      </c>
      <c r="E53" s="7">
        <f t="shared" si="31"/>
        <v>0.41210000000000002</v>
      </c>
      <c r="F53" s="7">
        <f t="shared" si="31"/>
        <v>0.41210000000000002</v>
      </c>
      <c r="G53" s="7">
        <f t="shared" si="31"/>
        <v>0.41210000000000002</v>
      </c>
      <c r="H53" s="7">
        <f t="shared" si="31"/>
        <v>0.41010000000000002</v>
      </c>
    </row>
    <row r="54" spans="1:8">
      <c r="A54" s="6" t="s">
        <v>271</v>
      </c>
      <c r="B54" s="6" t="s">
        <v>38</v>
      </c>
      <c r="C54" s="29">
        <f>Indicadores!$P$11</f>
        <v>1209.432</v>
      </c>
      <c r="D54" s="29">
        <f>Indicadores!$P$11</f>
        <v>1209.432</v>
      </c>
      <c r="E54" s="29">
        <f>Indicadores!$P$11</f>
        <v>1209.432</v>
      </c>
      <c r="F54" s="29">
        <f>Indicadores!$P$11</f>
        <v>1209.432</v>
      </c>
      <c r="G54" s="29">
        <f>Indicadores!$P$11</f>
        <v>1209.432</v>
      </c>
      <c r="H54" s="29">
        <f>Indicadores!$AB$12</f>
        <v>1203.7644547190628</v>
      </c>
    </row>
    <row r="55" spans="1:8">
      <c r="A55" s="6" t="s">
        <v>39</v>
      </c>
      <c r="B55" s="6" t="s">
        <v>39</v>
      </c>
      <c r="C55" s="29">
        <v>771.90800000000002</v>
      </c>
      <c r="D55" s="29">
        <v>771.90800000000002</v>
      </c>
      <c r="E55" s="29">
        <v>771.90800000000002</v>
      </c>
      <c r="F55" s="29">
        <v>771.90800000000002</v>
      </c>
      <c r="G55" s="29">
        <v>771.90800000000002</v>
      </c>
      <c r="H55" s="29">
        <v>771.90800000000002</v>
      </c>
    </row>
    <row r="56" spans="1:8">
      <c r="A56" s="6" t="s">
        <v>40</v>
      </c>
      <c r="B56" s="6" t="s">
        <v>40</v>
      </c>
      <c r="C56" s="23">
        <v>0.26300000000000001</v>
      </c>
      <c r="D56" s="23">
        <v>0.26300000000000001</v>
      </c>
      <c r="E56" s="23">
        <v>0.26300000000000001</v>
      </c>
      <c r="F56" s="23">
        <v>0.26300000000000001</v>
      </c>
      <c r="G56" s="23">
        <v>0.26300000000000001</v>
      </c>
      <c r="H56" s="23">
        <v>0.26300000000000001</v>
      </c>
    </row>
    <row r="57" spans="1:8">
      <c r="A57" s="8" t="s">
        <v>273</v>
      </c>
      <c r="B57" s="8" t="s">
        <v>276</v>
      </c>
      <c r="C57" s="65">
        <f t="shared" ref="C57" si="32">SUM(C48,C53)</f>
        <v>2.1994000000000002</v>
      </c>
      <c r="D57" s="65">
        <f t="shared" ref="D57:H57" si="33">SUM(D48,D53)</f>
        <v>2.1994000000000002</v>
      </c>
      <c r="E57" s="65">
        <f t="shared" si="33"/>
        <v>2.0337000000000001</v>
      </c>
      <c r="F57" s="65">
        <f t="shared" si="33"/>
        <v>2.0337000000000001</v>
      </c>
      <c r="G57" s="65">
        <f t="shared" si="33"/>
        <v>2.0337000000000001</v>
      </c>
      <c r="H57" s="65">
        <f t="shared" si="33"/>
        <v>1.8374000000000001</v>
      </c>
    </row>
    <row r="59" spans="1:8">
      <c r="A59" s="8" t="s">
        <v>250</v>
      </c>
      <c r="B59" s="8" t="s">
        <v>323</v>
      </c>
      <c r="C59" s="1"/>
      <c r="D59" s="1"/>
      <c r="E59" s="1"/>
      <c r="F59" s="1"/>
      <c r="G59" s="1"/>
      <c r="H59" s="1"/>
    </row>
    <row r="60" spans="1:8">
      <c r="B60" s="6" t="s">
        <v>251</v>
      </c>
      <c r="C60" s="2"/>
      <c r="D60" s="2">
        <f t="shared" ref="D60:H60" si="34">D61/D$94</f>
        <v>8.2720588235294115E-2</v>
      </c>
      <c r="E60" s="2">
        <f t="shared" si="34"/>
        <v>8.2720588235294115E-2</v>
      </c>
      <c r="F60" s="2">
        <f t="shared" si="34"/>
        <v>8.2720588235294115E-2</v>
      </c>
      <c r="G60" s="2">
        <f t="shared" si="34"/>
        <v>8.2720588235294115E-2</v>
      </c>
      <c r="H60" s="2">
        <f t="shared" si="34"/>
        <v>8.2720588235294115E-2</v>
      </c>
    </row>
    <row r="61" spans="1:8">
      <c r="A61" s="6" t="s">
        <v>252</v>
      </c>
      <c r="B61" s="6" t="s">
        <v>253</v>
      </c>
      <c r="C61" s="3"/>
      <c r="D61" s="3">
        <f>45000*31</f>
        <v>1395000</v>
      </c>
      <c r="E61" s="3">
        <f>45000*28</f>
        <v>1260000</v>
      </c>
      <c r="F61" s="3">
        <f t="shared" ref="F61:H61" si="35">45000*31</f>
        <v>1395000</v>
      </c>
      <c r="G61" s="3">
        <f>45000*30</f>
        <v>1350000</v>
      </c>
      <c r="H61" s="3">
        <f t="shared" si="35"/>
        <v>1395000</v>
      </c>
    </row>
    <row r="62" spans="1:8">
      <c r="A62" s="8" t="s">
        <v>254</v>
      </c>
      <c r="B62" s="8" t="s">
        <v>33</v>
      </c>
      <c r="C62" s="7"/>
      <c r="D62" s="65">
        <f t="shared" ref="D62:H62" si="36">ROUND(D65*D64*D63/D66,4)</f>
        <v>1.621</v>
      </c>
      <c r="E62" s="65">
        <f t="shared" si="36"/>
        <v>1.4706999999999999</v>
      </c>
      <c r="F62" s="65">
        <f t="shared" si="36"/>
        <v>1.4706999999999999</v>
      </c>
      <c r="G62" s="65">
        <f t="shared" si="36"/>
        <v>1.4706999999999999</v>
      </c>
      <c r="H62" s="65">
        <f t="shared" si="36"/>
        <v>1.2946</v>
      </c>
    </row>
    <row r="63" spans="1:8">
      <c r="A63" s="6" t="s">
        <v>256</v>
      </c>
      <c r="B63" s="6" t="s">
        <v>34</v>
      </c>
      <c r="C63" s="23"/>
      <c r="D63" s="23">
        <f>Indicadores!Z7</f>
        <v>5.4488000000000003</v>
      </c>
      <c r="E63" s="23">
        <f>Indicadores!AA8</f>
        <v>5.3906000000000001</v>
      </c>
      <c r="F63" s="23">
        <f>Indicadores!AB8</f>
        <v>5.3906000000000001</v>
      </c>
      <c r="G63" s="23">
        <f>Indicadores!AC8</f>
        <v>5.3906000000000001</v>
      </c>
      <c r="H63" s="23">
        <f>Indicadores!AD8</f>
        <v>5.4592999999999998</v>
      </c>
    </row>
    <row r="64" spans="1:8">
      <c r="A64" s="6" t="s">
        <v>258</v>
      </c>
      <c r="B64" s="6" t="s">
        <v>36</v>
      </c>
      <c r="C64" s="23"/>
      <c r="D64" s="23">
        <f>Indicadores!Z2</f>
        <v>68.165000000000006</v>
      </c>
      <c r="E64" s="23">
        <f>Indicadores!AA4</f>
        <v>62.514499999999998</v>
      </c>
      <c r="F64" s="23">
        <f>Indicadores!AB4</f>
        <v>62.514499999999998</v>
      </c>
      <c r="G64" s="23">
        <f>Indicadores!AC4</f>
        <v>62.514499999999998</v>
      </c>
      <c r="H64" s="23">
        <f>Indicadores!AD4</f>
        <v>54.333300000000001</v>
      </c>
    </row>
    <row r="65" spans="1:8">
      <c r="A65" s="6" t="s">
        <v>11</v>
      </c>
      <c r="B65" s="6" t="s">
        <v>12</v>
      </c>
      <c r="C65" s="4"/>
      <c r="D65" s="4">
        <v>0.11700000000000001</v>
      </c>
      <c r="E65" s="4">
        <v>0.11700000000000001</v>
      </c>
      <c r="F65" s="4">
        <v>0.11700000000000001</v>
      </c>
      <c r="G65" s="4">
        <v>0.11700000000000001</v>
      </c>
      <c r="H65" s="4">
        <v>0.11700000000000001</v>
      </c>
    </row>
    <row r="66" spans="1:8">
      <c r="A66" s="6" t="s">
        <v>13</v>
      </c>
      <c r="B66" s="6" t="s">
        <v>14</v>
      </c>
      <c r="D66">
        <v>26.8081</v>
      </c>
      <c r="E66">
        <v>26.8081</v>
      </c>
      <c r="F66">
        <v>26.8081</v>
      </c>
      <c r="G66">
        <v>26.8081</v>
      </c>
      <c r="H66">
        <v>26.8081</v>
      </c>
    </row>
    <row r="67" spans="1:8">
      <c r="A67" s="8" t="s">
        <v>260</v>
      </c>
      <c r="B67" s="8" t="s">
        <v>16</v>
      </c>
      <c r="C67" s="7"/>
      <c r="D67" s="7">
        <f t="shared" ref="D67:H67" si="37">ROUND(D70*D68/D69,4)</f>
        <v>0.31219999999999998</v>
      </c>
      <c r="E67" s="7">
        <f t="shared" si="37"/>
        <v>0.31219999999999998</v>
      </c>
      <c r="F67" s="7">
        <f t="shared" si="37"/>
        <v>0.31219999999999998</v>
      </c>
      <c r="G67" s="7">
        <f t="shared" si="37"/>
        <v>0.31219999999999998</v>
      </c>
      <c r="H67" s="7">
        <f t="shared" si="37"/>
        <v>0.31219999999999998</v>
      </c>
    </row>
    <row r="68" spans="1:8">
      <c r="A68" s="6" t="s">
        <v>271</v>
      </c>
      <c r="B68" s="6" t="s">
        <v>272</v>
      </c>
      <c r="C68" s="29"/>
      <c r="D68" s="29">
        <f>Indicadores!$X$11</f>
        <v>1185.175</v>
      </c>
      <c r="E68" s="29">
        <f>Indicadores!$X$11</f>
        <v>1185.175</v>
      </c>
      <c r="F68" s="29">
        <f>Indicadores!$X$11</f>
        <v>1185.175</v>
      </c>
      <c r="G68" s="29">
        <f>Indicadores!$X$11</f>
        <v>1185.175</v>
      </c>
      <c r="H68" s="29">
        <f>Indicadores!$X$11</f>
        <v>1185.175</v>
      </c>
    </row>
    <row r="69" spans="1:8">
      <c r="A69" s="6" t="s">
        <v>39</v>
      </c>
      <c r="B69" s="6" t="s">
        <v>39</v>
      </c>
      <c r="C69" s="29"/>
      <c r="D69" s="29">
        <v>1155.829</v>
      </c>
      <c r="E69" s="29">
        <v>1155.829</v>
      </c>
      <c r="F69" s="29">
        <v>1155.829</v>
      </c>
      <c r="G69" s="29">
        <v>1155.829</v>
      </c>
      <c r="H69" s="29">
        <v>1155.829</v>
      </c>
    </row>
    <row r="70" spans="1:8">
      <c r="A70" s="6" t="s">
        <v>40</v>
      </c>
      <c r="B70" s="6" t="s">
        <v>40</v>
      </c>
      <c r="C70" s="23"/>
      <c r="D70" s="23">
        <v>0.30449999999999999</v>
      </c>
      <c r="E70" s="23">
        <v>0.30449999999999999</v>
      </c>
      <c r="F70" s="23">
        <v>0.30449999999999999</v>
      </c>
      <c r="G70" s="23">
        <v>0.30449999999999999</v>
      </c>
      <c r="H70" s="23">
        <v>0.30449999999999999</v>
      </c>
    </row>
    <row r="71" spans="1:8">
      <c r="A71" s="8" t="s">
        <v>273</v>
      </c>
      <c r="B71" s="8" t="s">
        <v>324</v>
      </c>
      <c r="C71" s="65"/>
      <c r="D71" s="65">
        <f t="shared" ref="D71:H71" si="38">SUM(D62,D67)</f>
        <v>1.9332</v>
      </c>
      <c r="E71" s="65">
        <f t="shared" si="38"/>
        <v>1.7828999999999999</v>
      </c>
      <c r="F71" s="65">
        <f t="shared" si="38"/>
        <v>1.7828999999999999</v>
      </c>
      <c r="G71" s="65">
        <f t="shared" si="38"/>
        <v>1.7828999999999999</v>
      </c>
      <c r="H71" s="65">
        <f t="shared" si="38"/>
        <v>1.6068</v>
      </c>
    </row>
    <row r="73" spans="1:8">
      <c r="A73" s="8" t="s">
        <v>250</v>
      </c>
      <c r="B73" s="8" t="s">
        <v>71</v>
      </c>
      <c r="C73" s="1"/>
      <c r="D73" s="1"/>
      <c r="E73" s="1"/>
      <c r="F73" s="1"/>
      <c r="G73" s="1"/>
      <c r="H73" s="1"/>
    </row>
    <row r="74" spans="1:8">
      <c r="B74" s="6" t="s">
        <v>277</v>
      </c>
      <c r="C74" s="2">
        <f t="shared" ref="C74:H74" si="39">C75/C$94</f>
        <v>1.5197568389057751E-2</v>
      </c>
      <c r="D74" s="2">
        <f t="shared" si="39"/>
        <v>2.7573529411764705E-2</v>
      </c>
      <c r="E74" s="2">
        <f t="shared" si="39"/>
        <v>2.7573529411764705E-2</v>
      </c>
      <c r="F74" s="2">
        <f t="shared" si="39"/>
        <v>2.7573529411764705E-2</v>
      </c>
      <c r="G74" s="2">
        <f t="shared" si="39"/>
        <v>2.7573529411764705E-2</v>
      </c>
      <c r="H74" s="2">
        <f t="shared" si="39"/>
        <v>2.7573529411764705E-2</v>
      </c>
    </row>
    <row r="75" spans="1:8">
      <c r="B75" s="6" t="s">
        <v>253</v>
      </c>
      <c r="C75" s="3">
        <f>15000*31</f>
        <v>465000</v>
      </c>
      <c r="D75" s="3">
        <f>15000*31</f>
        <v>465000</v>
      </c>
      <c r="E75" s="3">
        <f>15000*28</f>
        <v>420000</v>
      </c>
      <c r="F75" s="3">
        <f>15000*31</f>
        <v>465000</v>
      </c>
      <c r="G75" s="3">
        <f>15000*30</f>
        <v>450000</v>
      </c>
      <c r="H75" s="3">
        <f>15000*31</f>
        <v>465000</v>
      </c>
    </row>
    <row r="76" spans="1:8">
      <c r="A76" s="6" t="s">
        <v>63</v>
      </c>
      <c r="B76" s="6" t="s">
        <v>64</v>
      </c>
      <c r="C76" s="23">
        <v>2.339</v>
      </c>
      <c r="D76" s="23">
        <f>ROUND(2.15*(1+$C78),3)</f>
        <v>2.327</v>
      </c>
      <c r="E76" s="23">
        <f t="shared" ref="E76:H76" si="40">ROUND(2.15*(1+$C78),3)</f>
        <v>2.327</v>
      </c>
      <c r="F76" s="23">
        <f t="shared" si="40"/>
        <v>2.327</v>
      </c>
      <c r="G76" s="23">
        <f t="shared" si="40"/>
        <v>2.327</v>
      </c>
      <c r="H76" s="23">
        <f t="shared" si="40"/>
        <v>2.327</v>
      </c>
    </row>
    <row r="77" spans="1:8">
      <c r="A77" s="6" t="s">
        <v>65</v>
      </c>
      <c r="B77" s="6" t="s">
        <v>66</v>
      </c>
      <c r="C77" s="23">
        <v>0.14099999999999999</v>
      </c>
      <c r="D77" s="23">
        <f>ROUND(0.13*(1+$C$78),3)</f>
        <v>0.14099999999999999</v>
      </c>
      <c r="E77" s="23">
        <f>ROUND(0.13*(1+$C$78),3)</f>
        <v>0.14099999999999999</v>
      </c>
      <c r="F77" s="23">
        <f>ROUND(0.13*(1+$C$78),3)</f>
        <v>0.14099999999999999</v>
      </c>
      <c r="G77" s="23">
        <f>ROUND(0.13*(1+$C$78),3)</f>
        <v>0.14099999999999999</v>
      </c>
      <c r="H77" s="23">
        <f>ROUND(0.13*(1+$C$78),3)</f>
        <v>0.14099999999999999</v>
      </c>
    </row>
    <row r="78" spans="1:8">
      <c r="A78" s="6" t="s">
        <v>278</v>
      </c>
      <c r="B78" s="6" t="s">
        <v>279</v>
      </c>
      <c r="C78" s="53">
        <f>Indicadores!Y12/1100.988-1</f>
        <v>8.233169094486037E-2</v>
      </c>
      <c r="D78" s="53"/>
      <c r="E78" s="53"/>
      <c r="F78" s="53"/>
      <c r="G78" s="53"/>
      <c r="H78" s="53"/>
    </row>
    <row r="79" spans="1:8">
      <c r="A79" s="8" t="s">
        <v>273</v>
      </c>
      <c r="B79" s="8" t="s">
        <v>280</v>
      </c>
      <c r="C79" s="65">
        <f t="shared" ref="C79" si="41">C76+C77</f>
        <v>2.48</v>
      </c>
      <c r="D79" s="65">
        <f t="shared" ref="D79:H79" si="42">D76+D77</f>
        <v>2.468</v>
      </c>
      <c r="E79" s="65">
        <f t="shared" si="42"/>
        <v>2.468</v>
      </c>
      <c r="F79" s="65">
        <f t="shared" si="42"/>
        <v>2.468</v>
      </c>
      <c r="G79" s="65">
        <f t="shared" si="42"/>
        <v>2.468</v>
      </c>
      <c r="H79" s="65">
        <f t="shared" si="42"/>
        <v>2.468</v>
      </c>
    </row>
    <row r="81" spans="1:8">
      <c r="A81" s="8" t="s">
        <v>250</v>
      </c>
      <c r="B81" s="8" t="s">
        <v>311</v>
      </c>
      <c r="C81" s="1"/>
      <c r="D81" s="1"/>
      <c r="E81" s="1"/>
      <c r="F81" s="1"/>
      <c r="G81" s="1"/>
      <c r="H81" s="1"/>
    </row>
    <row r="82" spans="1:8">
      <c r="B82" s="6" t="s">
        <v>277</v>
      </c>
      <c r="C82" s="2">
        <f t="shared" ref="C82:H82" si="43">C83/C$94</f>
        <v>1.5197568389057751E-2</v>
      </c>
      <c r="D82" s="2">
        <f t="shared" si="43"/>
        <v>2.7573529411764705E-2</v>
      </c>
      <c r="E82" s="2">
        <f t="shared" si="43"/>
        <v>2.7573529411764705E-2</v>
      </c>
      <c r="F82" s="2">
        <f t="shared" si="43"/>
        <v>2.7573529411764705E-2</v>
      </c>
      <c r="G82" s="2">
        <f t="shared" si="43"/>
        <v>2.7573529411764705E-2</v>
      </c>
      <c r="H82" s="2">
        <f t="shared" si="43"/>
        <v>2.7573529411764705E-2</v>
      </c>
    </row>
    <row r="83" spans="1:8">
      <c r="B83" s="6" t="s">
        <v>253</v>
      </c>
      <c r="C83" s="3">
        <f>15000*31</f>
        <v>465000</v>
      </c>
      <c r="D83" s="3">
        <f>15000*31</f>
        <v>465000</v>
      </c>
      <c r="E83" s="3">
        <f>15000*28</f>
        <v>420000</v>
      </c>
      <c r="F83" s="3">
        <f>15000*31</f>
        <v>465000</v>
      </c>
      <c r="G83" s="3">
        <f>15000*30</f>
        <v>450000</v>
      </c>
      <c r="H83" s="3">
        <f>15000*31</f>
        <v>465000</v>
      </c>
    </row>
    <row r="84" spans="1:8">
      <c r="A84" s="6" t="s">
        <v>63</v>
      </c>
      <c r="B84" s="6" t="s">
        <v>64</v>
      </c>
      <c r="C84" s="23">
        <v>2.875</v>
      </c>
      <c r="D84" s="23">
        <f t="shared" ref="D84" si="44">C84</f>
        <v>2.875</v>
      </c>
      <c r="E84" s="23">
        <f t="shared" ref="E84:E85" si="45">D84</f>
        <v>2.875</v>
      </c>
      <c r="F84" s="23">
        <f t="shared" ref="F84:F85" si="46">E84</f>
        <v>2.875</v>
      </c>
      <c r="G84" s="23">
        <f t="shared" ref="G84:G85" si="47">F84</f>
        <v>2.875</v>
      </c>
      <c r="H84" s="23">
        <f>ROUND(2.65*(1+G$86),3)</f>
        <v>2.8650000000000002</v>
      </c>
    </row>
    <row r="85" spans="1:8">
      <c r="A85" s="6" t="s">
        <v>65</v>
      </c>
      <c r="B85" s="6" t="s">
        <v>66</v>
      </c>
      <c r="C85" s="23">
        <v>0.14099999999999999</v>
      </c>
      <c r="D85" s="23">
        <f t="shared" ref="D85" si="48">C85</f>
        <v>0.14099999999999999</v>
      </c>
      <c r="E85" s="23">
        <f t="shared" si="45"/>
        <v>0.14099999999999999</v>
      </c>
      <c r="F85" s="23">
        <f t="shared" si="46"/>
        <v>0.14099999999999999</v>
      </c>
      <c r="G85" s="23">
        <f t="shared" si="47"/>
        <v>0.14099999999999999</v>
      </c>
      <c r="H85" s="23">
        <f>ROUND(0.13*(1+$G$86),3)</f>
        <v>0.14099999999999999</v>
      </c>
    </row>
    <row r="86" spans="1:8">
      <c r="A86" s="6" t="s">
        <v>278</v>
      </c>
      <c r="B86" s="6" t="s">
        <v>279</v>
      </c>
      <c r="C86" s="53"/>
      <c r="D86" s="53"/>
      <c r="E86" s="53"/>
      <c r="F86" s="53"/>
      <c r="G86" s="80">
        <f>Indicadores!$AC$12/1117.28-1</f>
        <v>8.1049736769371661E-2</v>
      </c>
      <c r="H86" s="53"/>
    </row>
    <row r="87" spans="1:8">
      <c r="A87" s="8" t="s">
        <v>273</v>
      </c>
      <c r="B87" s="8" t="s">
        <v>280</v>
      </c>
      <c r="C87" s="65">
        <f t="shared" ref="C87" si="49">C85+C84</f>
        <v>3.016</v>
      </c>
      <c r="D87" s="65">
        <f t="shared" ref="D87:H87" si="50">D85+D84</f>
        <v>3.016</v>
      </c>
      <c r="E87" s="65">
        <f t="shared" si="50"/>
        <v>3.016</v>
      </c>
      <c r="F87" s="65">
        <f t="shared" si="50"/>
        <v>3.016</v>
      </c>
      <c r="G87" s="65">
        <f t="shared" si="50"/>
        <v>3.016</v>
      </c>
      <c r="H87" s="65">
        <f t="shared" si="50"/>
        <v>3.0060000000000002</v>
      </c>
    </row>
    <row r="88" spans="1:8">
      <c r="C88" s="3"/>
      <c r="D88" s="3"/>
      <c r="E88" s="3"/>
      <c r="F88" s="3"/>
      <c r="G88" s="3"/>
      <c r="H88" s="3"/>
    </row>
    <row r="89" spans="1:8">
      <c r="A89" s="6" t="s">
        <v>281</v>
      </c>
      <c r="B89" s="6" t="s">
        <v>325</v>
      </c>
      <c r="C89" s="3">
        <v>327482.64</v>
      </c>
      <c r="D89" s="3">
        <v>327482.64</v>
      </c>
      <c r="E89" s="3">
        <v>315544.32000000001</v>
      </c>
      <c r="F89" s="3">
        <v>515131.68500000006</v>
      </c>
      <c r="G89" s="3">
        <v>506109.47000000003</v>
      </c>
      <c r="H89" s="3">
        <v>515131.68500000006</v>
      </c>
    </row>
    <row r="90" spans="1:8">
      <c r="A90" s="6" t="s">
        <v>281</v>
      </c>
      <c r="B90" s="6" t="s">
        <v>163</v>
      </c>
      <c r="C90" s="3">
        <f>636000*31*0.1377</f>
        <v>2714893.1999999997</v>
      </c>
      <c r="D90" s="3">
        <f>733000*31*0.1425</f>
        <v>3238027.4999999995</v>
      </c>
      <c r="E90" s="3">
        <f>733000*28*0.1425</f>
        <v>2924669.9999999995</v>
      </c>
      <c r="F90" s="3">
        <f>733000*31*0.1425</f>
        <v>3238027.4999999995</v>
      </c>
      <c r="G90" s="3">
        <f>733000*30*0.1425</f>
        <v>3133574.9999999995</v>
      </c>
      <c r="H90" s="3">
        <f>733000*31*0.1425</f>
        <v>3238027.4999999995</v>
      </c>
    </row>
    <row r="91" spans="1:8">
      <c r="A91" s="6" t="s">
        <v>281</v>
      </c>
      <c r="B91" s="6" t="s">
        <v>164</v>
      </c>
      <c r="C91" s="3">
        <f>450000*31*0.055</f>
        <v>767250</v>
      </c>
      <c r="D91" s="3">
        <f>100000*31*0.1038</f>
        <v>321780</v>
      </c>
      <c r="E91" s="3">
        <f>100000*28*0.1038</f>
        <v>290640</v>
      </c>
      <c r="F91" s="3">
        <f>100000*31*0.1038</f>
        <v>321780</v>
      </c>
      <c r="G91" s="3">
        <f>100000*30*0.1038</f>
        <v>311400</v>
      </c>
      <c r="H91" s="3">
        <f>100000*31*0.1038</f>
        <v>321780</v>
      </c>
    </row>
    <row r="92" spans="1:8">
      <c r="A92" s="6" t="s">
        <v>282</v>
      </c>
      <c r="B92" s="6" t="s">
        <v>166</v>
      </c>
      <c r="C92" s="3">
        <f>SUM(C89:C91)</f>
        <v>3809625.84</v>
      </c>
      <c r="D92" s="3">
        <f t="shared" ref="D92:H92" si="51">SUM(D89:D91)</f>
        <v>3887290.1399999997</v>
      </c>
      <c r="E92" s="3">
        <f t="shared" si="51"/>
        <v>3530854.3199999994</v>
      </c>
      <c r="F92" s="3">
        <f t="shared" si="51"/>
        <v>4074939.1849999996</v>
      </c>
      <c r="G92" s="3">
        <f t="shared" si="51"/>
        <v>3951084.4699999997</v>
      </c>
      <c r="H92" s="3">
        <f t="shared" si="51"/>
        <v>4074939.1849999996</v>
      </c>
    </row>
    <row r="94" spans="1:8">
      <c r="A94" s="36" t="s">
        <v>283</v>
      </c>
      <c r="B94" s="36" t="s">
        <v>284</v>
      </c>
      <c r="C94" s="37">
        <f t="shared" ref="C94" si="52">SUM(C4,C19,C33,C47,C75,C83)</f>
        <v>30597000</v>
      </c>
      <c r="D94" s="37">
        <f>SUM(D4,D33,D47,D61,D75,D83)</f>
        <v>16864000</v>
      </c>
      <c r="E94" s="37">
        <f t="shared" ref="E94:H94" si="53">SUM(E4,E33,E47,E61,E75,E83)</f>
        <v>15232000</v>
      </c>
      <c r="F94" s="37">
        <f t="shared" si="53"/>
        <v>16864000</v>
      </c>
      <c r="G94" s="37">
        <f t="shared" si="53"/>
        <v>16320000</v>
      </c>
      <c r="H94" s="37">
        <f t="shared" si="53"/>
        <v>16864000</v>
      </c>
    </row>
    <row r="95" spans="1:8">
      <c r="A95" s="36"/>
      <c r="B95" s="36"/>
    </row>
    <row r="96" spans="1:8">
      <c r="A96" s="36" t="s">
        <v>327</v>
      </c>
      <c r="B96" s="36" t="s">
        <v>326</v>
      </c>
      <c r="C96" s="45">
        <f>((C15*C4)+(C29*C19)+(C43*C33)+(C57*C47)+(C79*C75)+(C83*C87)+C89+C92)/C94</f>
        <v>2.1979080164722036</v>
      </c>
      <c r="D96" s="45">
        <f>((D15*D4)+(D43*D33)+(D57*D47)+(D71*D61)+(D79*D75)+(D83*D87)+D92)/D94</f>
        <v>2.2984977134724858</v>
      </c>
      <c r="E96" s="45">
        <f>((E15*E4)+(E43*E33)+(E57*E47)+(E71*E61)+(E79*E75)+(E83*E87)+E92)/E94</f>
        <v>2.1514664338235296</v>
      </c>
      <c r="F96" s="45">
        <f t="shared" ref="F96:H96" si="54">((F15*F4)+(F43*F33)+(F57*F47)+(F71*F61)+(F79*F75)+(F83*F87)+F92)/F94</f>
        <v>2.1612967851636626</v>
      </c>
      <c r="G96" s="45">
        <f t="shared" si="54"/>
        <v>2.1617621611519606</v>
      </c>
      <c r="H96" s="45">
        <f t="shared" si="54"/>
        <v>1.9865609395754269</v>
      </c>
    </row>
    <row r="98" spans="1:8">
      <c r="A98" s="36" t="s">
        <v>285</v>
      </c>
      <c r="B98" s="36" t="s">
        <v>286</v>
      </c>
      <c r="C98" s="87">
        <f>AVERAGE(C96:H96)</f>
        <v>2.1595820082765447</v>
      </c>
      <c r="D98" s="45"/>
      <c r="E98" s="45"/>
      <c r="F98" s="45"/>
      <c r="G98" s="45"/>
      <c r="H98" s="45"/>
    </row>
    <row r="99" spans="1:8">
      <c r="C99" s="39"/>
    </row>
    <row r="100" spans="1:8">
      <c r="C100" s="39"/>
      <c r="D100" s="23"/>
      <c r="E100" s="23"/>
      <c r="F100" s="23"/>
      <c r="G100" s="23"/>
      <c r="H100" s="23"/>
    </row>
    <row r="101" spans="1:8">
      <c r="C101" s="39"/>
    </row>
  </sheetData>
  <sheetProtection algorithmName="SHA-512" hashValue="AwpaRe/7FCVyWTg2lbThVA3ETX33ki52TDtqM7YxwoXTNArWKIEIVthOkCSlAxcbzQ7rk8SqqxU0FSgJBLf9gA==" saltValue="eBkRmjS5HOfYEG+nnu/y0A==" spinCount="100000" sheet="1" objects="1" scenarios="1"/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79998168889431442"/>
  </sheetPr>
  <dimension ref="A1:AF34"/>
  <sheetViews>
    <sheetView workbookViewId="0">
      <pane xSplit="1" ySplit="1" topLeftCell="O2" activePane="bottomRight" state="frozen"/>
      <selection pane="topRight" activeCell="C1" sqref="C1"/>
      <selection pane="bottomLeft" activeCell="A2" sqref="A2"/>
      <selection pane="bottomRight"/>
    </sheetView>
  </sheetViews>
  <sheetFormatPr defaultRowHeight="14.5"/>
  <cols>
    <col min="1" max="1" width="15.08984375" bestFit="1" customWidth="1"/>
    <col min="2" max="18" width="9.36328125" customWidth="1"/>
    <col min="24" max="30" width="9.08984375" customWidth="1"/>
    <col min="31" max="31" width="9.36328125" customWidth="1"/>
    <col min="32" max="32" width="8.90625" customWidth="1"/>
  </cols>
  <sheetData>
    <row r="1" spans="1:32">
      <c r="A1" s="34" t="s">
        <v>287</v>
      </c>
      <c r="B1" s="38">
        <v>45292</v>
      </c>
      <c r="C1" s="38">
        <v>45323</v>
      </c>
      <c r="D1" s="38">
        <v>45352</v>
      </c>
      <c r="E1" s="38">
        <v>45383</v>
      </c>
      <c r="F1" s="38">
        <v>45413</v>
      </c>
      <c r="G1" s="38">
        <v>45444</v>
      </c>
      <c r="H1" s="38">
        <v>45474</v>
      </c>
      <c r="I1" s="38">
        <v>45505</v>
      </c>
      <c r="J1" s="38">
        <v>45536</v>
      </c>
      <c r="K1" s="38">
        <v>45566</v>
      </c>
      <c r="L1" s="38">
        <v>45597</v>
      </c>
      <c r="M1" s="38">
        <v>45627</v>
      </c>
      <c r="N1" s="38">
        <v>45658</v>
      </c>
      <c r="O1" s="38">
        <v>45689</v>
      </c>
      <c r="P1" s="38">
        <v>45717</v>
      </c>
      <c r="Q1" s="38">
        <v>45748</v>
      </c>
      <c r="R1" s="38">
        <v>45778</v>
      </c>
      <c r="S1" s="38">
        <v>45809</v>
      </c>
      <c r="T1" s="38">
        <v>45839</v>
      </c>
      <c r="U1" s="38">
        <v>45870</v>
      </c>
      <c r="V1" s="38">
        <v>45901</v>
      </c>
      <c r="W1" s="38">
        <v>45931</v>
      </c>
      <c r="X1" s="38">
        <v>45962</v>
      </c>
      <c r="Y1" s="38">
        <v>45992</v>
      </c>
      <c r="Z1" s="38">
        <v>46023</v>
      </c>
      <c r="AA1" s="38">
        <v>46054</v>
      </c>
      <c r="AB1" s="38">
        <v>46082</v>
      </c>
      <c r="AC1" s="38">
        <v>46113</v>
      </c>
      <c r="AD1" s="38">
        <v>46143</v>
      </c>
      <c r="AE1" s="38">
        <v>46174</v>
      </c>
      <c r="AF1" s="38">
        <v>46204</v>
      </c>
    </row>
    <row r="2" spans="1:32">
      <c r="A2" t="s">
        <v>288</v>
      </c>
      <c r="B2" s="23">
        <f>'Indicador - Dados primários'!$O2</f>
        <v>0</v>
      </c>
      <c r="C2" s="23">
        <f>'Indicador - Dados primários'!$O3</f>
        <v>82.8536</v>
      </c>
      <c r="D2" s="23">
        <f>'Indicador - Dados primários'!$O4</f>
        <v>82.8536</v>
      </c>
      <c r="E2" s="23">
        <f>'Indicador - Dados primários'!$O5</f>
        <v>82.8536</v>
      </c>
      <c r="F2" s="23">
        <f>'Indicador - Dados primários'!$O6</f>
        <v>81.756200000000007</v>
      </c>
      <c r="G2" s="23">
        <f>'Indicador - Dados primários'!$O7</f>
        <v>81.756200000000007</v>
      </c>
      <c r="H2" s="23">
        <f>'Indicador - Dados primários'!$O8</f>
        <v>81.756200000000007</v>
      </c>
      <c r="I2" s="23">
        <f>'Indicador - Dados primários'!$O9</f>
        <v>85.0291</v>
      </c>
      <c r="J2" s="23">
        <f>'Indicador - Dados primários'!$O10</f>
        <v>85.0291</v>
      </c>
      <c r="K2" s="23">
        <f>'Indicador - Dados primários'!$O11</f>
        <v>85.0291</v>
      </c>
      <c r="L2" s="23">
        <f>'Indicador - Dados primários'!$O12</f>
        <v>78.708500000000001</v>
      </c>
      <c r="M2" s="23">
        <f>'Indicador - Dados primários'!$O13</f>
        <v>78.708500000000001</v>
      </c>
      <c r="N2" s="23">
        <f>'Indicador - Dados primários'!$O14</f>
        <v>78.708500000000001</v>
      </c>
      <c r="O2" s="23">
        <f>'Indicador - Dados primários'!$O15</f>
        <v>74.012200000000007</v>
      </c>
      <c r="P2" s="23">
        <f>'Indicador - Dados primários'!$O16</f>
        <v>74.012200000000007</v>
      </c>
      <c r="Q2" s="23">
        <f>'Indicador - Dados primários'!$O17</f>
        <v>74.012200000000007</v>
      </c>
      <c r="R2" s="23">
        <f>'Indicador - Dados primários'!$O18</f>
        <v>74.977500000000006</v>
      </c>
      <c r="S2" s="23">
        <f>'Indicador - Dados primários'!$O19</f>
        <v>74.977500000000006</v>
      </c>
      <c r="T2" s="23">
        <f>'Indicador - Dados primários'!$O20</f>
        <v>74.977500000000006</v>
      </c>
      <c r="U2" s="23">
        <f>'Indicador - Dados primários'!$O21</f>
        <v>66.7119</v>
      </c>
      <c r="V2" s="23">
        <f>'Indicador - Dados primários'!$O22</f>
        <v>66.7119</v>
      </c>
      <c r="W2" s="23">
        <f>'Indicador - Dados primários'!$O23</f>
        <v>66.7119</v>
      </c>
      <c r="X2" s="23">
        <f>'Indicador - Dados primários'!$O24</f>
        <v>68.165000000000006</v>
      </c>
      <c r="Y2" s="23">
        <f>'Indicador - Dados primários'!$O25</f>
        <v>68.165000000000006</v>
      </c>
      <c r="Z2" s="23">
        <f>'Indicador - Dados primários'!$O26</f>
        <v>68.165000000000006</v>
      </c>
    </row>
    <row r="3" spans="1:32">
      <c r="A3" t="s">
        <v>289</v>
      </c>
      <c r="B3" s="23">
        <f>'Indicador - Dados primários'!$P2</f>
        <v>86.746600000000001</v>
      </c>
      <c r="C3" s="23">
        <f>'Indicador - Dados primários'!$P3</f>
        <v>84.335099999999997</v>
      </c>
      <c r="D3" s="23">
        <f>'Indicador - Dados primários'!$P4</f>
        <v>84.335099999999997</v>
      </c>
      <c r="E3" s="23">
        <f>'Indicador - Dados primários'!$P5</f>
        <v>84.335099999999997</v>
      </c>
      <c r="F3" s="23">
        <f>'Indicador - Dados primários'!$P6</f>
        <v>83.162700000000001</v>
      </c>
      <c r="G3" s="23">
        <f>'Indicador - Dados primários'!$P7</f>
        <v>83.162700000000001</v>
      </c>
      <c r="H3" s="23">
        <f>'Indicador - Dados primários'!$P8</f>
        <v>83.162700000000001</v>
      </c>
      <c r="I3" s="23">
        <f>'Indicador - Dados primários'!$P9</f>
        <v>84.972800000000007</v>
      </c>
      <c r="J3" s="23">
        <f>'Indicador - Dados primários'!$P10</f>
        <v>84.972800000000007</v>
      </c>
      <c r="K3" s="23">
        <f>'Indicador - Dados primários'!$P11</f>
        <v>84.972800000000007</v>
      </c>
      <c r="L3" s="23">
        <f>'Indicador - Dados primários'!$P12</f>
        <v>80.338300000000004</v>
      </c>
      <c r="M3" s="23">
        <f>'Indicador - Dados primários'!$P13</f>
        <v>80.338300000000004</v>
      </c>
      <c r="N3" s="23">
        <f>'Indicador - Dados primários'!$P14</f>
        <v>80.338300000000004</v>
      </c>
      <c r="O3" s="23">
        <f>'Indicador - Dados primários'!$P15</f>
        <v>74.7333</v>
      </c>
      <c r="P3" s="23">
        <f>'Indicador - Dados primários'!$P16</f>
        <v>74.7333</v>
      </c>
      <c r="Q3" s="23">
        <f>'Indicador - Dados primários'!$P17</f>
        <v>74.7333</v>
      </c>
      <c r="R3" s="23">
        <f>'Indicador - Dados primários'!$P18</f>
        <v>75.728200000000001</v>
      </c>
      <c r="S3" s="23">
        <f>'Indicador - Dados primários'!$P19</f>
        <v>75.728200000000001</v>
      </c>
      <c r="T3" s="23">
        <f>'Indicador - Dados primários'!$P20</f>
        <v>75.728200000000001</v>
      </c>
      <c r="U3" s="23">
        <f>'Indicador - Dados primários'!$P21</f>
        <v>67.884</v>
      </c>
      <c r="V3" s="23">
        <f>'Indicador - Dados primários'!$P22</f>
        <v>67.884</v>
      </c>
      <c r="W3" s="23">
        <f>'Indicador - Dados primários'!$P23</f>
        <v>67.884</v>
      </c>
      <c r="X3" s="23">
        <f>'Indicador - Dados primários'!$P24</f>
        <v>69.1267</v>
      </c>
      <c r="Y3" s="23">
        <f>'Indicador - Dados primários'!$P25</f>
        <v>69.1267</v>
      </c>
      <c r="Z3" s="23">
        <f>'Indicador - Dados primários'!$P26</f>
        <v>69.1267</v>
      </c>
    </row>
    <row r="4" spans="1:32">
      <c r="A4" t="s">
        <v>258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X4" s="23"/>
      <c r="Y4" s="23"/>
      <c r="Z4" s="23"/>
      <c r="AA4" s="23">
        <f>ROUND(AVERAGE('Indicador - Dados primários'!$Q23:$Q25),4)</f>
        <v>62.514499999999998</v>
      </c>
      <c r="AB4" s="23">
        <f>AA4</f>
        <v>62.514499999999998</v>
      </c>
      <c r="AC4" s="23">
        <f>AB4</f>
        <v>62.514499999999998</v>
      </c>
      <c r="AD4" s="23">
        <f>ROUND(AVERAGE('Indicador - Dados primários'!$Q26:$Q28),4)</f>
        <v>54.333300000000001</v>
      </c>
      <c r="AE4" s="23">
        <f t="shared" ref="AE4:AF4" si="0">AD4</f>
        <v>54.333300000000001</v>
      </c>
      <c r="AF4" s="23">
        <f t="shared" si="0"/>
        <v>54.333300000000001</v>
      </c>
    </row>
    <row r="6" spans="1:32">
      <c r="A6" s="34" t="s">
        <v>290</v>
      </c>
      <c r="B6" s="38">
        <v>45292</v>
      </c>
      <c r="C6" s="38">
        <v>45323</v>
      </c>
      <c r="D6" s="38">
        <v>45352</v>
      </c>
      <c r="E6" s="38">
        <v>45383</v>
      </c>
      <c r="F6" s="38">
        <v>45413</v>
      </c>
      <c r="G6" s="38">
        <v>45444</v>
      </c>
      <c r="H6" s="38">
        <v>45474</v>
      </c>
      <c r="I6" s="38">
        <v>45505</v>
      </c>
      <c r="J6" s="38">
        <v>45536</v>
      </c>
      <c r="K6" s="38">
        <v>45566</v>
      </c>
      <c r="L6" s="38">
        <v>45597</v>
      </c>
      <c r="M6" s="38">
        <v>45627</v>
      </c>
      <c r="N6" s="38">
        <v>45658</v>
      </c>
      <c r="O6" s="38">
        <v>45689</v>
      </c>
      <c r="P6" s="38">
        <v>45717</v>
      </c>
      <c r="Q6" s="38">
        <v>45748</v>
      </c>
      <c r="R6" s="38">
        <v>45778</v>
      </c>
      <c r="S6" s="38">
        <v>45809</v>
      </c>
      <c r="T6" s="38">
        <v>45839</v>
      </c>
      <c r="U6" s="38">
        <v>45870</v>
      </c>
      <c r="V6" s="38">
        <v>45901</v>
      </c>
      <c r="W6" s="38">
        <v>45931</v>
      </c>
      <c r="X6" s="38">
        <v>45962</v>
      </c>
      <c r="Y6" s="38">
        <v>45992</v>
      </c>
      <c r="Z6" s="38">
        <v>46023</v>
      </c>
      <c r="AA6" s="38">
        <v>46054</v>
      </c>
      <c r="AB6" s="38">
        <v>46082</v>
      </c>
      <c r="AC6" s="38">
        <v>46113</v>
      </c>
      <c r="AD6" s="38">
        <v>46143</v>
      </c>
      <c r="AE6" s="38">
        <v>46174</v>
      </c>
      <c r="AF6" s="38">
        <v>46204</v>
      </c>
    </row>
    <row r="7" spans="1:32">
      <c r="A7" t="s">
        <v>7</v>
      </c>
      <c r="B7" s="23">
        <f>'Indicador - Dados primários'!$G2</f>
        <v>0</v>
      </c>
      <c r="C7" s="23">
        <f>'Indicador - Dados primários'!$G3</f>
        <v>4.9553000000000003</v>
      </c>
      <c r="D7" s="23">
        <f>'Indicador - Dados primários'!$G4</f>
        <v>4.9553000000000003</v>
      </c>
      <c r="E7" s="23">
        <f>'Indicador - Dados primários'!$G5</f>
        <v>4.9553000000000003</v>
      </c>
      <c r="F7" s="23">
        <f>'Indicador - Dados primários'!$G6</f>
        <v>4.9515000000000002</v>
      </c>
      <c r="G7" s="23">
        <f>'Indicador - Dados primários'!$G7</f>
        <v>4.9515000000000002</v>
      </c>
      <c r="H7" s="23">
        <f>'Indicador - Dados primários'!$G8</f>
        <v>4.9515000000000002</v>
      </c>
      <c r="I7" s="23">
        <f>'Indicador - Dados primários'!$G9</f>
        <v>5.2129000000000003</v>
      </c>
      <c r="J7" s="23">
        <f>'Indicador - Dados primários'!$G10</f>
        <v>5.2129000000000003</v>
      </c>
      <c r="K7" s="23">
        <f>'Indicador - Dados primários'!$G11</f>
        <v>5.2129000000000003</v>
      </c>
      <c r="L7" s="23">
        <f>'Indicador - Dados primários'!$G12</f>
        <v>5.5453999999999999</v>
      </c>
      <c r="M7" s="23">
        <f>'Indicador - Dados primários'!$G13</f>
        <v>5.5453999999999999</v>
      </c>
      <c r="N7" s="23">
        <f>'Indicador - Dados primários'!$G14</f>
        <v>5.5453999999999999</v>
      </c>
      <c r="O7" s="23">
        <f>'Indicador - Dados primários'!$G15</f>
        <v>5.8369</v>
      </c>
      <c r="P7" s="23">
        <f>'Indicador - Dados primários'!$G16</f>
        <v>5.8369</v>
      </c>
      <c r="Q7" s="23">
        <f>'Indicador - Dados primários'!$G17</f>
        <v>5.8369</v>
      </c>
      <c r="R7" s="23">
        <f>'Indicador - Dados primários'!$G18</f>
        <v>5.8521999999999998</v>
      </c>
      <c r="S7" s="23">
        <f>'Indicador - Dados primários'!$G19</f>
        <v>5.8521999999999998</v>
      </c>
      <c r="T7" s="23">
        <f>'Indicador - Dados primários'!$G20</f>
        <v>5.8521999999999998</v>
      </c>
      <c r="U7" s="23">
        <f>'Indicador - Dados primários'!$G21</f>
        <v>5.6661000000000001</v>
      </c>
      <c r="V7" s="23">
        <f>'Indicador - Dados primários'!$G22</f>
        <v>5.6661000000000001</v>
      </c>
      <c r="W7" s="23">
        <f>'Indicador - Dados primários'!$G23</f>
        <v>5.6661000000000001</v>
      </c>
      <c r="X7" s="23">
        <f>'Indicador - Dados primários'!$G24</f>
        <v>5.4488000000000003</v>
      </c>
      <c r="Y7" s="23">
        <f>'Indicador - Dados primários'!$G25</f>
        <v>5.4488000000000003</v>
      </c>
      <c r="Z7" s="23">
        <f>'Indicador - Dados primários'!$G26</f>
        <v>5.4488000000000003</v>
      </c>
    </row>
    <row r="8" spans="1:32">
      <c r="A8" t="s">
        <v>256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>
        <f>'Indicador - Dados primários'!G27</f>
        <v>5.3906000000000001</v>
      </c>
      <c r="AB8" s="23">
        <f>'Indicador - Dados primários'!G28</f>
        <v>5.3906000000000001</v>
      </c>
      <c r="AC8" s="23">
        <f>'Indicador - Dados primários'!G29</f>
        <v>5.3906000000000001</v>
      </c>
      <c r="AD8" s="23">
        <f>'Indicador - Dados primários'!G30</f>
        <v>5.4592999999999998</v>
      </c>
      <c r="AE8" s="23">
        <f>'Indicador - Dados primários'!G31</f>
        <v>5.4592999999999998</v>
      </c>
      <c r="AF8" s="23">
        <f>'Indicador - Dados primários'!G32</f>
        <v>5.4592999999999998</v>
      </c>
    </row>
    <row r="10" spans="1:32">
      <c r="A10" s="34" t="s">
        <v>291</v>
      </c>
      <c r="B10" s="38">
        <v>45292</v>
      </c>
      <c r="C10" s="38">
        <v>45323</v>
      </c>
      <c r="D10" s="38">
        <v>45352</v>
      </c>
      <c r="E10" s="38">
        <v>45383</v>
      </c>
      <c r="F10" s="38">
        <v>45413</v>
      </c>
      <c r="G10" s="38">
        <v>45444</v>
      </c>
      <c r="H10" s="38">
        <v>45474</v>
      </c>
      <c r="I10" s="38">
        <v>45505</v>
      </c>
      <c r="J10" s="38">
        <v>45536</v>
      </c>
      <c r="K10" s="38">
        <v>45566</v>
      </c>
      <c r="L10" s="38">
        <v>45597</v>
      </c>
      <c r="M10" s="38">
        <v>45627</v>
      </c>
      <c r="N10" s="38">
        <v>45658</v>
      </c>
      <c r="O10" s="38">
        <v>45689</v>
      </c>
      <c r="P10" s="38">
        <v>45717</v>
      </c>
      <c r="Q10" s="38">
        <v>45748</v>
      </c>
      <c r="R10" s="38">
        <v>45778</v>
      </c>
      <c r="S10" s="38">
        <v>45809</v>
      </c>
      <c r="T10" s="38">
        <v>45839</v>
      </c>
      <c r="U10" s="38">
        <v>45870</v>
      </c>
      <c r="V10" s="38">
        <v>45901</v>
      </c>
      <c r="W10" s="38">
        <v>45931</v>
      </c>
      <c r="X10" s="38">
        <v>45962</v>
      </c>
      <c r="Y10" s="38">
        <v>45992</v>
      </c>
      <c r="Z10" s="38">
        <v>46023</v>
      </c>
      <c r="AA10" s="38">
        <v>46054</v>
      </c>
      <c r="AB10" s="38">
        <v>46082</v>
      </c>
      <c r="AC10" s="38">
        <v>46113</v>
      </c>
      <c r="AD10" s="38">
        <v>46143</v>
      </c>
      <c r="AE10" s="38">
        <v>46174</v>
      </c>
      <c r="AF10" s="38">
        <v>46204</v>
      </c>
    </row>
    <row r="11" spans="1:32">
      <c r="A11" t="s">
        <v>292</v>
      </c>
      <c r="B11" s="29">
        <v>1124.8789999999999</v>
      </c>
      <c r="C11" s="29">
        <v>1119.0609999999999</v>
      </c>
      <c r="D11" s="29">
        <v>1113.837</v>
      </c>
      <c r="E11" s="29">
        <v>1117.28</v>
      </c>
      <c r="F11" s="29">
        <v>1127.2329999999999</v>
      </c>
      <c r="G11" s="29">
        <v>1136.4090000000001</v>
      </c>
      <c r="H11" s="29">
        <v>1143.3130000000001</v>
      </c>
      <c r="I11" s="29">
        <v>1146.575</v>
      </c>
      <c r="J11" s="29">
        <v>1153.7180000000001</v>
      </c>
      <c r="K11" s="29">
        <v>1171.2719999999999</v>
      </c>
      <c r="L11" s="29">
        <v>1186.462</v>
      </c>
      <c r="M11" s="29">
        <v>1197.5619999999999</v>
      </c>
      <c r="N11" s="29">
        <v>1200.7750000000001</v>
      </c>
      <c r="O11" s="29">
        <v>1213.5139999999999</v>
      </c>
      <c r="P11" s="29">
        <v>1209.432</v>
      </c>
      <c r="Q11" s="29">
        <v>1212.296</v>
      </c>
      <c r="R11" s="29">
        <v>1206.3779999999999</v>
      </c>
      <c r="S11" s="29">
        <v>1186.259</v>
      </c>
      <c r="T11" s="29">
        <v>1177.1679999999999</v>
      </c>
      <c r="U11" s="29">
        <v>1181.3689999999999</v>
      </c>
      <c r="V11" s="29">
        <v>1186.2829999999999</v>
      </c>
      <c r="W11" s="29">
        <v>1182.0050000000001</v>
      </c>
      <c r="X11" s="29">
        <v>1185.175</v>
      </c>
      <c r="Y11" s="29"/>
      <c r="Z11" s="29"/>
      <c r="AA11" s="29"/>
      <c r="AB11" s="29"/>
      <c r="AC11" s="29"/>
      <c r="AD11" s="29"/>
      <c r="AE11" s="29"/>
      <c r="AF11" s="29"/>
    </row>
    <row r="12" spans="1:32" s="39" customFormat="1">
      <c r="A12" s="39" t="s">
        <v>271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>
        <f>X11*(1+Y13)</f>
        <v>1191.6342037499999</v>
      </c>
      <c r="Z12" s="57">
        <f t="shared" ref="Z12" si="1">Y12*(1+Z13)</f>
        <v>1195.6639778077804</v>
      </c>
      <c r="AA12" s="57">
        <f t="shared" ref="AA12" si="2">Z12*(1+AA13)</f>
        <v>1199.7073794359223</v>
      </c>
      <c r="AB12" s="57">
        <f t="shared" ref="AB12" si="3">AA12*(1+AB13)</f>
        <v>1203.7644547190628</v>
      </c>
      <c r="AC12" s="57">
        <f t="shared" ref="AC12" si="4">AB12*(1+AC13)</f>
        <v>1207.8352498976835</v>
      </c>
      <c r="AD12" s="57">
        <f t="shared" ref="AD12" si="5">AC12*(1+AD13)</f>
        <v>1211.9198113686396</v>
      </c>
      <c r="AE12" s="57">
        <f t="shared" ref="AE12" si="6">AD12*(1+AE13)</f>
        <v>1216.0181856856864</v>
      </c>
      <c r="AF12" s="57">
        <f t="shared" ref="AF12" si="7">AE12*(1+AF13)</f>
        <v>1220.1304195600117</v>
      </c>
    </row>
    <row r="13" spans="1:32">
      <c r="B13" s="5"/>
      <c r="M13" s="19"/>
      <c r="Q13" s="53"/>
      <c r="R13" s="53"/>
      <c r="S13" s="53"/>
      <c r="T13" s="53"/>
      <c r="U13" s="53"/>
      <c r="V13" s="53"/>
      <c r="W13" s="53"/>
      <c r="X13" s="53"/>
      <c r="Y13" s="53">
        <v>5.45E-3</v>
      </c>
      <c r="Z13" s="53">
        <v>3.3817207034667618E-3</v>
      </c>
      <c r="AA13" s="53">
        <v>3.3817207034667618E-3</v>
      </c>
      <c r="AB13" s="53">
        <v>3.3817207034667618E-3</v>
      </c>
      <c r="AC13" s="53">
        <v>3.3817207034667618E-3</v>
      </c>
      <c r="AD13" s="53">
        <v>3.3817207034667618E-3</v>
      </c>
      <c r="AE13" s="53">
        <v>3.3817207034667618E-3</v>
      </c>
      <c r="AF13" s="53">
        <v>3.3817207034667618E-3</v>
      </c>
    </row>
    <row r="14" spans="1:32">
      <c r="B14" s="5"/>
      <c r="M14" s="19"/>
    </row>
    <row r="15" spans="1:32">
      <c r="A15" s="34" t="s">
        <v>229</v>
      </c>
      <c r="B15" s="38">
        <v>45292</v>
      </c>
      <c r="C15" s="38">
        <v>45323</v>
      </c>
      <c r="D15" s="38">
        <v>45352</v>
      </c>
      <c r="E15" s="38">
        <v>45383</v>
      </c>
      <c r="F15" s="38">
        <v>45413</v>
      </c>
      <c r="G15" s="38">
        <v>45444</v>
      </c>
      <c r="H15" s="38">
        <v>45474</v>
      </c>
      <c r="I15" s="38">
        <v>45505</v>
      </c>
      <c r="J15" s="38">
        <v>45536</v>
      </c>
      <c r="K15" s="38">
        <v>45566</v>
      </c>
      <c r="L15" s="38">
        <v>45597</v>
      </c>
      <c r="M15" s="38">
        <v>45627</v>
      </c>
      <c r="N15" s="38">
        <v>45658</v>
      </c>
      <c r="O15" s="38">
        <v>45689</v>
      </c>
      <c r="P15" s="38">
        <v>45717</v>
      </c>
      <c r="Q15" s="38">
        <v>45748</v>
      </c>
      <c r="R15" s="38">
        <v>45778</v>
      </c>
      <c r="S15" s="38">
        <v>45809</v>
      </c>
      <c r="T15" s="38">
        <v>45839</v>
      </c>
      <c r="U15" s="38">
        <v>45870</v>
      </c>
      <c r="V15" s="38">
        <v>45901</v>
      </c>
      <c r="W15" s="38">
        <v>45931</v>
      </c>
      <c r="X15" s="38">
        <v>45962</v>
      </c>
      <c r="Y15" s="38">
        <v>45992</v>
      </c>
      <c r="Z15" s="38">
        <v>46023</v>
      </c>
      <c r="AA15" s="38">
        <v>46054</v>
      </c>
      <c r="AB15" s="38">
        <v>46082</v>
      </c>
      <c r="AC15" s="38">
        <v>46113</v>
      </c>
      <c r="AD15" s="38">
        <v>46143</v>
      </c>
      <c r="AE15" s="38">
        <v>46174</v>
      </c>
      <c r="AF15" s="38">
        <v>46204</v>
      </c>
    </row>
    <row r="16" spans="1:32">
      <c r="A16" t="s">
        <v>229</v>
      </c>
      <c r="B16" s="30">
        <v>9.7000000000000003E-3</v>
      </c>
      <c r="C16" s="30">
        <v>8.0000000000000002E-3</v>
      </c>
      <c r="D16" s="30">
        <v>8.3000000000000001E-3</v>
      </c>
      <c r="E16" s="30">
        <v>8.8999999999999999E-3</v>
      </c>
      <c r="F16" s="30">
        <v>8.3000000000000001E-3</v>
      </c>
      <c r="G16" s="30">
        <v>7.9000000000000008E-3</v>
      </c>
      <c r="H16" s="30">
        <v>9.1000000000000004E-3</v>
      </c>
      <c r="I16" s="30">
        <v>8.6999999999999994E-3</v>
      </c>
      <c r="J16" s="30">
        <v>8.3999999999999995E-3</v>
      </c>
      <c r="K16" s="30">
        <v>9.2999999999999992E-3</v>
      </c>
      <c r="L16" s="30">
        <v>7.9000000000000008E-3</v>
      </c>
      <c r="M16" s="30">
        <v>9.2999999999999992E-3</v>
      </c>
      <c r="N16" s="30">
        <v>1.01E-2</v>
      </c>
      <c r="O16" s="30">
        <v>9.9000000000000008E-3</v>
      </c>
      <c r="P16" s="30">
        <v>9.5999999999999992E-3</v>
      </c>
      <c r="Q16" s="30">
        <v>1.06E-2</v>
      </c>
      <c r="R16" s="30">
        <v>1.14E-2</v>
      </c>
      <c r="S16" s="30">
        <v>1.0999999999999999E-2</v>
      </c>
      <c r="T16" s="30">
        <v>1.2800000000000001E-2</v>
      </c>
      <c r="U16" s="30">
        <v>1.1599999999999999E-2</v>
      </c>
      <c r="V16" s="30">
        <v>1.2199999999999999E-2</v>
      </c>
      <c r="W16" s="30">
        <v>1.2800000000000001E-2</v>
      </c>
      <c r="X16" s="30">
        <v>1.0500000000000001E-2</v>
      </c>
    </row>
    <row r="17" spans="1:32">
      <c r="B17" s="5"/>
      <c r="M17" s="19"/>
    </row>
    <row r="18" spans="1:32">
      <c r="A18" s="34" t="s">
        <v>315</v>
      </c>
      <c r="B18" s="38">
        <v>45292</v>
      </c>
      <c r="C18" s="38">
        <v>45323</v>
      </c>
      <c r="D18" s="38">
        <v>45352</v>
      </c>
      <c r="E18" s="38">
        <v>45383</v>
      </c>
      <c r="F18" s="38">
        <v>45413</v>
      </c>
      <c r="G18" s="38">
        <v>45444</v>
      </c>
      <c r="H18" s="38">
        <v>45474</v>
      </c>
      <c r="I18" s="38">
        <v>45505</v>
      </c>
      <c r="J18" s="38">
        <v>45536</v>
      </c>
      <c r="K18" s="38">
        <v>45566</v>
      </c>
      <c r="L18" s="38">
        <v>45597</v>
      </c>
      <c r="M18" s="38">
        <v>45627</v>
      </c>
      <c r="N18" s="38">
        <v>45658</v>
      </c>
      <c r="O18" s="38">
        <v>45689</v>
      </c>
      <c r="P18" s="38">
        <v>45717</v>
      </c>
      <c r="Q18" s="38">
        <v>45748</v>
      </c>
      <c r="R18" s="38">
        <v>45778</v>
      </c>
      <c r="S18" s="38">
        <v>45809</v>
      </c>
      <c r="T18" s="38">
        <v>45839</v>
      </c>
      <c r="U18" s="38">
        <v>45870</v>
      </c>
      <c r="V18" s="38">
        <v>45901</v>
      </c>
      <c r="W18" s="38">
        <v>45931</v>
      </c>
      <c r="X18" s="38">
        <v>45962</v>
      </c>
      <c r="Y18" s="38">
        <v>45992</v>
      </c>
      <c r="Z18" s="38">
        <v>46023</v>
      </c>
      <c r="AA18" s="38">
        <v>46054</v>
      </c>
      <c r="AB18" s="38">
        <v>46082</v>
      </c>
      <c r="AC18" s="38">
        <v>46113</v>
      </c>
      <c r="AD18" s="38">
        <v>46143</v>
      </c>
      <c r="AE18" s="38">
        <v>46174</v>
      </c>
      <c r="AF18" s="38">
        <v>46204</v>
      </c>
    </row>
    <row r="19" spans="1:32">
      <c r="A19" t="s">
        <v>316</v>
      </c>
      <c r="B19" s="29">
        <v>6801.72</v>
      </c>
      <c r="C19" s="29">
        <v>6858.17</v>
      </c>
      <c r="D19" s="29">
        <v>6869.14</v>
      </c>
      <c r="E19" s="29">
        <v>6895.24</v>
      </c>
      <c r="F19" s="29">
        <v>6926.96</v>
      </c>
      <c r="G19" s="29">
        <v>6941.51</v>
      </c>
      <c r="H19" s="29">
        <v>6967.89</v>
      </c>
      <c r="I19" s="29">
        <v>6966.5</v>
      </c>
      <c r="J19" s="29">
        <v>6997.15</v>
      </c>
      <c r="K19" s="29">
        <v>7036.33</v>
      </c>
      <c r="L19" s="29">
        <v>7063.77</v>
      </c>
      <c r="M19" s="29">
        <v>7100.5</v>
      </c>
      <c r="N19" s="29">
        <v>7111.86</v>
      </c>
      <c r="O19" s="29">
        <v>7205.03</v>
      </c>
      <c r="P19" s="29">
        <v>7245.38</v>
      </c>
      <c r="Q19" s="29">
        <v>7276.54</v>
      </c>
      <c r="R19" s="29">
        <v>7295.46</v>
      </c>
      <c r="S19" s="29">
        <v>7312.97</v>
      </c>
      <c r="T19" s="29">
        <v>7331.98</v>
      </c>
      <c r="U19" s="29">
        <v>7323.91</v>
      </c>
      <c r="V19" s="29">
        <v>7359.06</v>
      </c>
      <c r="W19" s="29">
        <v>7365.68</v>
      </c>
      <c r="X19" s="29"/>
      <c r="Y19" s="29"/>
      <c r="Z19" s="29"/>
      <c r="AA19" s="29"/>
      <c r="AB19" s="29"/>
      <c r="AC19" s="29"/>
      <c r="AD19" s="29"/>
      <c r="AE19" s="29"/>
      <c r="AF19" s="29"/>
    </row>
    <row r="20" spans="1:32" s="39" customFormat="1">
      <c r="A20" s="39" t="s">
        <v>317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29"/>
      <c r="X20" s="29">
        <f>W19*(1+X21)</f>
        <v>7384.4035585600004</v>
      </c>
      <c r="Y20" s="29">
        <f t="shared" ref="Y20" si="8">X20*(1+Y21)</f>
        <v>7417.3749204489704</v>
      </c>
      <c r="Z20" s="29">
        <f t="shared" ref="Z20" si="9">Y20*(1+Z21)</f>
        <v>7449.1880414827756</v>
      </c>
      <c r="AA20" s="29">
        <f t="shared" ref="AA20" si="10">Z20*(1+AA21)</f>
        <v>7492.7434439613253</v>
      </c>
      <c r="AB20" s="29">
        <f t="shared" ref="AB20" si="11">AA20*(1+AB21)</f>
        <v>7524.1680099652995</v>
      </c>
      <c r="AC20" s="29">
        <f t="shared" ref="AC20" si="12">AB20*(1+AC21)</f>
        <v>7557.4850259134264</v>
      </c>
      <c r="AD20" s="29">
        <f t="shared" ref="AD20" si="13">AC20*(1+AD21)</f>
        <v>7579.1447779976943</v>
      </c>
      <c r="AE20" s="29">
        <f t="shared" ref="AE20" si="14">AD20*(1+AE21)</f>
        <v>7595.9250045361805</v>
      </c>
      <c r="AF20" s="29">
        <f t="shared" ref="AF20" si="15">AE20*(1+AF21)</f>
        <v>7616.6163042485368</v>
      </c>
    </row>
    <row r="21" spans="1:32">
      <c r="B21" s="5"/>
      <c r="M21" s="19"/>
      <c r="Q21" s="53"/>
      <c r="R21" s="53"/>
      <c r="S21" s="53"/>
      <c r="T21" s="53"/>
      <c r="U21" s="53"/>
      <c r="V21" s="53"/>
      <c r="W21" s="81"/>
      <c r="X21" s="81">
        <v>2.542E-3</v>
      </c>
      <c r="Y21" s="81">
        <v>4.4650000000000002E-3</v>
      </c>
      <c r="Z21" s="81">
        <v>4.2890000000000003E-3</v>
      </c>
      <c r="AA21" s="81">
        <v>5.8469999999999998E-3</v>
      </c>
      <c r="AB21" s="81">
        <v>4.1939999999999998E-3</v>
      </c>
      <c r="AC21" s="81">
        <v>4.4280000000000005E-3</v>
      </c>
      <c r="AD21" s="81">
        <v>2.8660000000000001E-3</v>
      </c>
      <c r="AE21" s="81">
        <v>2.2140000000000003E-3</v>
      </c>
      <c r="AF21" s="81">
        <v>2.7239999999999999E-3</v>
      </c>
    </row>
    <row r="22" spans="1:32">
      <c r="K22" s="1"/>
      <c r="M22" s="73"/>
    </row>
    <row r="23" spans="1:32">
      <c r="C23" s="20"/>
      <c r="K23" s="1"/>
    </row>
    <row r="24" spans="1:32">
      <c r="B24" s="5"/>
      <c r="C24" s="20"/>
      <c r="K24" s="1"/>
      <c r="M24" s="73"/>
    </row>
    <row r="25" spans="1:32">
      <c r="B25" s="5"/>
      <c r="C25" s="20"/>
      <c r="K25" s="1"/>
    </row>
    <row r="26" spans="1:32">
      <c r="B26" s="5"/>
      <c r="C26" s="20"/>
      <c r="K26" s="1"/>
      <c r="M26" s="73"/>
    </row>
    <row r="27" spans="1:32">
      <c r="B27" s="5"/>
      <c r="C27" s="20"/>
    </row>
    <row r="28" spans="1:32">
      <c r="B28" s="5"/>
      <c r="C28" s="20"/>
      <c r="K28" s="1"/>
      <c r="M28" s="73"/>
    </row>
    <row r="29" spans="1:32">
      <c r="B29" s="5"/>
      <c r="C29" s="20"/>
      <c r="Y29" s="83"/>
    </row>
    <row r="30" spans="1:32">
      <c r="B30" s="5"/>
      <c r="C30" s="20"/>
      <c r="K30" s="1"/>
      <c r="M30" s="73"/>
    </row>
    <row r="31" spans="1:32">
      <c r="B31" s="5"/>
      <c r="C31" s="20"/>
      <c r="M31" s="73"/>
    </row>
    <row r="32" spans="1:32">
      <c r="B32" s="5"/>
      <c r="C32" s="20"/>
      <c r="K32" s="1"/>
    </row>
    <row r="33" spans="2:3">
      <c r="B33" s="5"/>
      <c r="C33" s="20"/>
    </row>
    <row r="34" spans="2:3">
      <c r="B34" s="5"/>
    </row>
  </sheetData>
  <sheetProtection algorithmName="SHA-512" hashValue="LzJak1PJCEzeFdfuwPw1NnpEamYbaESp9p/4XGn3nmKVc7+nbuhJ58ECQ3ChaXtBFIKfMPDckbQ6LK/83xstBg==" saltValue="vcESRAqox9M2goxwKjIV0w==" spinCount="100000" sheet="1" objects="1" scenarios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79998168889431442"/>
  </sheetPr>
  <dimension ref="A1:S585"/>
  <sheetViews>
    <sheetView topLeftCell="B1" workbookViewId="0">
      <pane ySplit="1" topLeftCell="A13" activePane="bottomLeft" state="frozen"/>
      <selection pane="bottomLeft"/>
    </sheetView>
  </sheetViews>
  <sheetFormatPr defaultRowHeight="14.5"/>
  <cols>
    <col min="1" max="1" width="10.90625" customWidth="1"/>
    <col min="2" max="2" width="11.6328125" style="32" customWidth="1"/>
    <col min="4" max="4" width="7.90625" customWidth="1"/>
    <col min="5" max="5" width="11.453125" style="32" customWidth="1"/>
    <col min="6" max="6" width="10.6328125" style="32" customWidth="1"/>
    <col min="7" max="7" width="11.36328125" style="32" customWidth="1"/>
    <col min="8" max="8" width="9.6328125" customWidth="1"/>
    <col min="9" max="9" width="11.26953125" style="32" customWidth="1"/>
    <col min="10" max="10" width="11.7265625" style="55" customWidth="1"/>
    <col min="11" max="11" width="10" style="32" customWidth="1"/>
    <col min="12" max="12" width="9.90625" bestFit="1" customWidth="1"/>
    <col min="13" max="13" width="12.36328125" style="41" customWidth="1"/>
    <col min="14" max="14" width="12" style="32" customWidth="1"/>
    <col min="15" max="15" width="16.6328125" style="32" customWidth="1"/>
    <col min="16" max="16" width="16.7265625" style="32" customWidth="1"/>
    <col min="17" max="17" width="12.36328125" style="32" customWidth="1"/>
    <col min="18" max="18" width="14.26953125" customWidth="1"/>
  </cols>
  <sheetData>
    <row r="1" spans="1:19" ht="45.65" customHeight="1">
      <c r="A1" s="52" t="s">
        <v>293</v>
      </c>
      <c r="B1" s="52" t="s">
        <v>294</v>
      </c>
      <c r="D1" s="52" t="s">
        <v>309</v>
      </c>
      <c r="E1" s="52" t="s">
        <v>295</v>
      </c>
      <c r="F1" s="52" t="s">
        <v>296</v>
      </c>
      <c r="G1" s="75" t="s">
        <v>310</v>
      </c>
      <c r="I1" s="52" t="s">
        <v>297</v>
      </c>
      <c r="J1" s="52" t="s">
        <v>298</v>
      </c>
      <c r="K1" s="63" t="s">
        <v>299</v>
      </c>
      <c r="L1" s="6"/>
      <c r="M1" s="52" t="s">
        <v>300</v>
      </c>
      <c r="N1" s="52" t="s">
        <v>295</v>
      </c>
      <c r="O1" s="75" t="s">
        <v>308</v>
      </c>
      <c r="P1" s="75" t="s">
        <v>307</v>
      </c>
      <c r="Q1" s="52" t="s">
        <v>301</v>
      </c>
      <c r="R1" s="6"/>
      <c r="S1" s="6"/>
    </row>
    <row r="2" spans="1:19">
      <c r="A2" s="22">
        <v>45201</v>
      </c>
      <c r="B2" s="54">
        <v>5.0678999999999998</v>
      </c>
      <c r="D2" s="1">
        <v>45292</v>
      </c>
      <c r="E2" s="31" t="s">
        <v>302</v>
      </c>
      <c r="F2" s="54">
        <f>AVERAGE(B63:B84)</f>
        <v>4.9143954545454553</v>
      </c>
      <c r="G2" s="54"/>
      <c r="H2" s="23"/>
      <c r="I2" s="64">
        <v>45201</v>
      </c>
      <c r="J2" s="55">
        <v>90.71</v>
      </c>
      <c r="K2" s="54"/>
      <c r="L2" s="23"/>
      <c r="M2" s="61">
        <v>45292</v>
      </c>
      <c r="N2" s="31" t="s">
        <v>302</v>
      </c>
      <c r="O2" s="54"/>
      <c r="P2" s="54">
        <v>86.746600000000001</v>
      </c>
      <c r="Q2" s="54">
        <v>80.12</v>
      </c>
      <c r="R2" s="23"/>
    </row>
    <row r="3" spans="1:19">
      <c r="A3" s="22">
        <v>45202</v>
      </c>
      <c r="B3" s="54">
        <v>5.1100000000000003</v>
      </c>
      <c r="D3" s="1">
        <v>45323</v>
      </c>
      <c r="E3" s="31" t="s">
        <v>302</v>
      </c>
      <c r="F3" s="54">
        <f>AVERAGE(B85:B103)</f>
        <v>4.9643894736842107</v>
      </c>
      <c r="G3" s="54">
        <f>ROUND(AVERAGE(B2:B62),4)</f>
        <v>4.9553000000000003</v>
      </c>
      <c r="H3" s="23"/>
      <c r="I3" s="64">
        <v>45202</v>
      </c>
      <c r="J3" s="55">
        <v>90.92</v>
      </c>
      <c r="K3" s="56"/>
      <c r="L3" s="24"/>
      <c r="M3" s="61">
        <v>45323</v>
      </c>
      <c r="N3" s="31" t="s">
        <v>302</v>
      </c>
      <c r="O3" s="54">
        <f>ROUND(AVERAGE(J2:J65),4)</f>
        <v>82.8536</v>
      </c>
      <c r="P3" s="54">
        <v>84.335099999999997</v>
      </c>
      <c r="Q3" s="54">
        <v>83.48</v>
      </c>
      <c r="R3" s="23"/>
    </row>
    <row r="4" spans="1:19">
      <c r="A4" s="22">
        <v>45203</v>
      </c>
      <c r="B4" s="54">
        <v>5.1525999999999996</v>
      </c>
      <c r="D4" s="1">
        <v>45352</v>
      </c>
      <c r="E4" s="31" t="s">
        <v>302</v>
      </c>
      <c r="F4" s="54">
        <f>AVERAGE(B104:B123)</f>
        <v>4.9801349999999998</v>
      </c>
      <c r="G4" s="54">
        <f>G3</f>
        <v>4.9553000000000003</v>
      </c>
      <c r="H4" s="23"/>
      <c r="I4" s="64">
        <v>45203</v>
      </c>
      <c r="J4" s="55">
        <v>85.81</v>
      </c>
      <c r="K4" s="56"/>
      <c r="L4" s="24"/>
      <c r="M4" s="61">
        <v>45352</v>
      </c>
      <c r="N4" s="31" t="s">
        <v>302</v>
      </c>
      <c r="O4" s="54">
        <f>O3</f>
        <v>82.8536</v>
      </c>
      <c r="P4" s="54">
        <v>84.335099999999997</v>
      </c>
      <c r="Q4" s="54">
        <v>85.41</v>
      </c>
      <c r="R4" s="23"/>
    </row>
    <row r="5" spans="1:19">
      <c r="A5" s="22">
        <v>45204</v>
      </c>
      <c r="B5" s="54">
        <v>5.1712999999999996</v>
      </c>
      <c r="D5" s="1">
        <v>45383</v>
      </c>
      <c r="E5" s="31" t="s">
        <v>302</v>
      </c>
      <c r="F5" s="54">
        <f>AVERAGE(B124:B145)</f>
        <v>5.129095454545455</v>
      </c>
      <c r="G5" s="54">
        <f>G4</f>
        <v>4.9553000000000003</v>
      </c>
      <c r="H5" s="23"/>
      <c r="I5" s="64">
        <v>45204</v>
      </c>
      <c r="J5" s="55">
        <v>84.07</v>
      </c>
      <c r="K5" s="56"/>
      <c r="L5" s="24"/>
      <c r="M5" s="61">
        <v>45383</v>
      </c>
      <c r="N5" s="31" t="s">
        <v>302</v>
      </c>
      <c r="O5" s="54">
        <f>O4</f>
        <v>82.8536</v>
      </c>
      <c r="P5" s="54">
        <v>84.335099999999997</v>
      </c>
      <c r="Q5" s="54">
        <v>89.94</v>
      </c>
      <c r="R5" s="23"/>
    </row>
    <row r="6" spans="1:19">
      <c r="A6" s="22">
        <v>45205</v>
      </c>
      <c r="B6" s="54">
        <v>5.1917999999999997</v>
      </c>
      <c r="D6" s="1">
        <v>45413</v>
      </c>
      <c r="E6" s="31" t="s">
        <v>302</v>
      </c>
      <c r="F6" s="54">
        <f>AVERAGE(B146:B166)</f>
        <v>5.1330476190476206</v>
      </c>
      <c r="G6" s="54">
        <f>ROUND(AVERAGE(B63:B123),4)</f>
        <v>4.9515000000000002</v>
      </c>
      <c r="H6" s="23"/>
      <c r="I6" s="64">
        <v>45205</v>
      </c>
      <c r="J6" s="55">
        <v>84.58</v>
      </c>
      <c r="K6" s="56"/>
      <c r="L6" s="24"/>
      <c r="M6" s="61">
        <v>45413</v>
      </c>
      <c r="N6" s="31" t="s">
        <v>302</v>
      </c>
      <c r="O6" s="54">
        <f>ROUND(AVERAGE(J66:J128),4)</f>
        <v>81.756200000000007</v>
      </c>
      <c r="P6" s="54">
        <v>83.162700000000001</v>
      </c>
      <c r="Q6" s="54">
        <v>81.75</v>
      </c>
      <c r="R6" s="23"/>
    </row>
    <row r="7" spans="1:19">
      <c r="A7" s="22">
        <v>45208</v>
      </c>
      <c r="B7" s="54">
        <v>5.1665999999999999</v>
      </c>
      <c r="D7" s="1">
        <v>45444</v>
      </c>
      <c r="E7" s="31" t="s">
        <v>302</v>
      </c>
      <c r="F7" s="54">
        <f>AVERAGE(B167:B186)</f>
        <v>5.3889749999999994</v>
      </c>
      <c r="G7" s="54">
        <f>G6</f>
        <v>4.9515000000000002</v>
      </c>
      <c r="H7" s="23"/>
      <c r="I7" s="64">
        <v>45208</v>
      </c>
      <c r="J7" s="55">
        <v>88.15</v>
      </c>
      <c r="K7" s="56"/>
      <c r="L7" s="24"/>
      <c r="M7" s="61">
        <v>45444</v>
      </c>
      <c r="N7" s="31" t="s">
        <v>302</v>
      </c>
      <c r="O7" s="54">
        <f>O6</f>
        <v>81.756200000000007</v>
      </c>
      <c r="P7" s="54">
        <v>83.162700000000001</v>
      </c>
      <c r="Q7" s="54">
        <v>82.25</v>
      </c>
      <c r="R7" s="23"/>
    </row>
    <row r="8" spans="1:19">
      <c r="A8" s="22">
        <v>45209</v>
      </c>
      <c r="B8" s="54">
        <v>5.0861999999999998</v>
      </c>
      <c r="D8" s="1">
        <v>45474</v>
      </c>
      <c r="E8" s="31" t="s">
        <v>302</v>
      </c>
      <c r="F8" s="54">
        <f>AVERAGE(B187:B209)</f>
        <v>5.5420478260869555</v>
      </c>
      <c r="G8" s="54">
        <f>G7</f>
        <v>4.9515000000000002</v>
      </c>
      <c r="H8" s="23"/>
      <c r="I8" s="64">
        <v>45209</v>
      </c>
      <c r="J8" s="55">
        <v>87.65</v>
      </c>
      <c r="M8" s="61">
        <v>45474</v>
      </c>
      <c r="N8" s="31" t="s">
        <v>302</v>
      </c>
      <c r="O8" s="54">
        <f>O7</f>
        <v>81.756200000000007</v>
      </c>
      <c r="P8" s="54">
        <v>83.162700000000001</v>
      </c>
      <c r="Q8" s="54">
        <v>85.15</v>
      </c>
      <c r="R8" s="23"/>
      <c r="S8" s="18"/>
    </row>
    <row r="9" spans="1:19">
      <c r="A9" s="22">
        <v>45210</v>
      </c>
      <c r="B9" s="54">
        <v>5.0495999999999999</v>
      </c>
      <c r="D9" s="1">
        <v>45505</v>
      </c>
      <c r="E9" s="31" t="s">
        <v>302</v>
      </c>
      <c r="F9" s="54">
        <f>AVERAGE(B210:B231)</f>
        <v>5.5526136363636356</v>
      </c>
      <c r="G9" s="54">
        <f>ROUND(AVERAGE(B124:B186),4)</f>
        <v>5.2129000000000003</v>
      </c>
      <c r="H9" s="23"/>
      <c r="I9" s="64">
        <v>45210</v>
      </c>
      <c r="J9" s="55">
        <v>85.82</v>
      </c>
      <c r="M9" s="61">
        <v>45505</v>
      </c>
      <c r="N9" s="31" t="s">
        <v>302</v>
      </c>
      <c r="O9" s="54">
        <f>ROUND(AVERAGE(J129:J193),4)</f>
        <v>85.0291</v>
      </c>
      <c r="P9" s="54">
        <v>84.972800000000007</v>
      </c>
      <c r="Q9" s="54">
        <v>80.36</v>
      </c>
      <c r="R9" s="23"/>
    </row>
    <row r="10" spans="1:19">
      <c r="A10" s="22">
        <v>45212</v>
      </c>
      <c r="B10" s="54">
        <v>5.0625</v>
      </c>
      <c r="D10" s="1">
        <v>45536</v>
      </c>
      <c r="E10" s="31" t="s">
        <v>302</v>
      </c>
      <c r="F10" s="54">
        <f>AVERAGE(B232:B252)</f>
        <v>5.5415666666666663</v>
      </c>
      <c r="G10" s="54">
        <f>G9</f>
        <v>5.2129000000000003</v>
      </c>
      <c r="H10" s="23"/>
      <c r="I10" s="64">
        <v>45211</v>
      </c>
      <c r="J10" s="55">
        <v>86</v>
      </c>
      <c r="M10" s="61">
        <v>45536</v>
      </c>
      <c r="N10" s="31" t="s">
        <v>302</v>
      </c>
      <c r="O10" s="54">
        <f>O9</f>
        <v>85.0291</v>
      </c>
      <c r="P10" s="54">
        <v>84.972800000000007</v>
      </c>
      <c r="Q10" s="54">
        <v>74.02</v>
      </c>
      <c r="R10" s="23"/>
    </row>
    <row r="11" spans="1:19">
      <c r="A11" s="22">
        <v>45215</v>
      </c>
      <c r="B11" s="54">
        <v>5.0617999999999999</v>
      </c>
      <c r="D11" s="1">
        <v>45566</v>
      </c>
      <c r="E11" s="31" t="s">
        <v>302</v>
      </c>
      <c r="F11" s="54">
        <f>AVERAGE(B253:B275)</f>
        <v>5.6241086956521738</v>
      </c>
      <c r="G11" s="54">
        <f>G10</f>
        <v>5.2129000000000003</v>
      </c>
      <c r="H11" s="23"/>
      <c r="I11" s="64">
        <v>45212</v>
      </c>
      <c r="J11" s="55">
        <v>90.89</v>
      </c>
      <c r="M11" s="61">
        <v>45566</v>
      </c>
      <c r="N11" s="31" t="s">
        <v>302</v>
      </c>
      <c r="O11" s="54">
        <f>O10</f>
        <v>85.0291</v>
      </c>
      <c r="P11" s="54">
        <v>84.972800000000007</v>
      </c>
      <c r="Q11" s="54">
        <v>75.63</v>
      </c>
      <c r="R11" s="23"/>
    </row>
    <row r="12" spans="1:19">
      <c r="A12" s="22">
        <v>45216</v>
      </c>
      <c r="B12" s="54">
        <v>5.0384000000000002</v>
      </c>
      <c r="D12" s="1">
        <v>45597</v>
      </c>
      <c r="E12" s="31" t="s">
        <v>302</v>
      </c>
      <c r="F12" s="54">
        <f>AVERAGE(B276:B294)</f>
        <v>5.8070578947368423</v>
      </c>
      <c r="G12" s="54">
        <f>ROUND(AVERAGE(B187:B252),4)</f>
        <v>5.5453999999999999</v>
      </c>
      <c r="H12" s="23"/>
      <c r="I12" s="64">
        <v>45215</v>
      </c>
      <c r="J12" s="55">
        <v>89.65</v>
      </c>
      <c r="M12" s="61">
        <v>45597</v>
      </c>
      <c r="N12" s="31" t="s">
        <v>302</v>
      </c>
      <c r="O12" s="54">
        <f>ROUND(AVERAGE(J194:J259),4)</f>
        <v>78.708500000000001</v>
      </c>
      <c r="P12" s="54">
        <v>80.338300000000004</v>
      </c>
      <c r="Q12" s="54">
        <v>74.349999999999994</v>
      </c>
      <c r="R12" s="23"/>
    </row>
    <row r="13" spans="1:19">
      <c r="A13" s="22">
        <v>45217</v>
      </c>
      <c r="B13" s="54">
        <v>5.0568</v>
      </c>
      <c r="D13" s="1">
        <v>45627</v>
      </c>
      <c r="E13" s="31" t="s">
        <v>302</v>
      </c>
      <c r="F13" s="54">
        <f>AVERAGE(B295:B315)</f>
        <v>6.097028571428571</v>
      </c>
      <c r="G13" s="54">
        <f>G12</f>
        <v>5.5453999999999999</v>
      </c>
      <c r="H13" s="23"/>
      <c r="I13" s="64">
        <v>45216</v>
      </c>
      <c r="J13" s="55">
        <v>89.9</v>
      </c>
      <c r="M13" s="61">
        <v>45627</v>
      </c>
      <c r="N13" s="31" t="s">
        <v>302</v>
      </c>
      <c r="O13" s="54">
        <f>O12</f>
        <v>78.708500000000001</v>
      </c>
      <c r="P13" s="54">
        <v>80.338300000000004</v>
      </c>
      <c r="Q13" s="54">
        <v>73.86</v>
      </c>
      <c r="R13" s="23"/>
    </row>
    <row r="14" spans="1:19">
      <c r="A14" s="22">
        <v>45218</v>
      </c>
      <c r="B14" s="54">
        <v>5.0540000000000003</v>
      </c>
      <c r="D14" s="1">
        <v>45658</v>
      </c>
      <c r="E14" s="31" t="s">
        <v>302</v>
      </c>
      <c r="F14" s="54">
        <f>AVERAGE(B316:B336)</f>
        <v>6.0308999999999999</v>
      </c>
      <c r="G14" s="54">
        <f>G13</f>
        <v>5.5453999999999999</v>
      </c>
      <c r="H14" s="23"/>
      <c r="I14" s="64">
        <v>45217</v>
      </c>
      <c r="J14" s="55">
        <v>91.5</v>
      </c>
      <c r="M14" s="61">
        <v>45658</v>
      </c>
      <c r="N14" s="31" t="s">
        <v>302</v>
      </c>
      <c r="O14" s="54">
        <f>O13</f>
        <v>78.708500000000001</v>
      </c>
      <c r="P14" s="54">
        <v>80.338300000000004</v>
      </c>
      <c r="Q14" s="54">
        <v>79.27</v>
      </c>
      <c r="R14" s="23"/>
    </row>
    <row r="15" spans="1:19">
      <c r="A15" s="22">
        <v>45219</v>
      </c>
      <c r="B15" s="54">
        <v>5.0528000000000004</v>
      </c>
      <c r="D15" s="1">
        <v>45689</v>
      </c>
      <c r="E15" s="31" t="s">
        <v>302</v>
      </c>
      <c r="F15" s="54">
        <f>AVERAGE(B338:B357)</f>
        <v>5.7656449999999992</v>
      </c>
      <c r="G15" s="54">
        <f>ROUND(AVERAGE(B253:B315),4)</f>
        <v>5.8369</v>
      </c>
      <c r="H15" s="23"/>
      <c r="I15" s="64">
        <v>45218</v>
      </c>
      <c r="J15" s="55">
        <v>92.38</v>
      </c>
      <c r="M15" s="61">
        <v>45689</v>
      </c>
      <c r="N15" s="31" t="s">
        <v>302</v>
      </c>
      <c r="O15" s="54">
        <f>ROUND(AVERAGE(J260:J324),4)</f>
        <v>74.012200000000007</v>
      </c>
      <c r="P15" s="54">
        <v>74.7333</v>
      </c>
      <c r="Q15" s="54">
        <v>75.44</v>
      </c>
      <c r="R15" s="23"/>
    </row>
    <row r="16" spans="1:19">
      <c r="A16" s="22">
        <v>45222</v>
      </c>
      <c r="B16" s="54">
        <v>5.0164</v>
      </c>
      <c r="D16" s="1">
        <v>45717</v>
      </c>
      <c r="E16" s="31" t="s">
        <v>302</v>
      </c>
      <c r="F16" s="54">
        <f>AVERAGE(B358:B376)</f>
        <v>5.74681052631579</v>
      </c>
      <c r="G16" s="54">
        <f>G15</f>
        <v>5.8369</v>
      </c>
      <c r="H16" s="23"/>
      <c r="I16" s="64">
        <v>45219</v>
      </c>
      <c r="J16" s="55">
        <v>92.16</v>
      </c>
      <c r="M16" s="61">
        <v>45717</v>
      </c>
      <c r="N16" s="31" t="s">
        <v>302</v>
      </c>
      <c r="O16" s="54">
        <f>O15</f>
        <v>74.012200000000007</v>
      </c>
      <c r="P16" s="54">
        <v>74.7333</v>
      </c>
      <c r="Q16" s="54">
        <v>72.73</v>
      </c>
      <c r="R16" s="23"/>
    </row>
    <row r="17" spans="1:18">
      <c r="A17" s="22">
        <v>45223</v>
      </c>
      <c r="B17" s="54">
        <v>5.0065</v>
      </c>
      <c r="D17" s="1">
        <v>45748</v>
      </c>
      <c r="E17" s="31" t="s">
        <v>302</v>
      </c>
      <c r="F17" s="54">
        <f>AVERAGE(B377:B396)</f>
        <v>5.7836749999999997</v>
      </c>
      <c r="G17" s="54">
        <f>G16</f>
        <v>5.8369</v>
      </c>
      <c r="H17" s="23"/>
      <c r="I17" s="64">
        <v>45222</v>
      </c>
      <c r="J17" s="55">
        <v>89.83</v>
      </c>
      <c r="M17" s="61">
        <v>45748</v>
      </c>
      <c r="N17" s="31" t="s">
        <v>302</v>
      </c>
      <c r="O17" s="54">
        <f>O16</f>
        <v>74.012200000000007</v>
      </c>
      <c r="P17" s="54">
        <v>74.7333</v>
      </c>
      <c r="Q17" s="54">
        <v>68.134500000000003</v>
      </c>
      <c r="R17" s="23"/>
    </row>
    <row r="18" spans="1:18">
      <c r="A18" s="22">
        <v>45224</v>
      </c>
      <c r="B18" s="54">
        <v>4.9981</v>
      </c>
      <c r="D18" s="1">
        <v>45778</v>
      </c>
      <c r="E18" s="31" t="s">
        <v>302</v>
      </c>
      <c r="F18" s="54">
        <f>AVERAGE(B397:B417)</f>
        <v>5.6673857142857154</v>
      </c>
      <c r="G18" s="54">
        <f>ROUND(AVERAGE(B316:B376),4)</f>
        <v>5.8521999999999998</v>
      </c>
      <c r="H18" s="24"/>
      <c r="I18" s="64">
        <v>45223</v>
      </c>
      <c r="J18" s="55">
        <v>88.07</v>
      </c>
      <c r="M18" s="61">
        <v>45778</v>
      </c>
      <c r="N18" s="31" t="s">
        <v>302</v>
      </c>
      <c r="O18" s="54">
        <f>ROUND(AVERAGE(J325:J387),4)</f>
        <v>74.977500000000006</v>
      </c>
      <c r="P18" s="54">
        <v>75.728200000000001</v>
      </c>
      <c r="Q18" s="54">
        <v>64.453000000000003</v>
      </c>
      <c r="R18" s="24"/>
    </row>
    <row r="19" spans="1:18">
      <c r="A19" s="22">
        <v>45225</v>
      </c>
      <c r="B19" s="54">
        <v>5.0054999999999996</v>
      </c>
      <c r="D19" s="1">
        <v>45809</v>
      </c>
      <c r="E19" s="31" t="s">
        <v>302</v>
      </c>
      <c r="F19" s="54">
        <f>AVERAGE(B418:B437)</f>
        <v>5.5470549999999985</v>
      </c>
      <c r="G19" s="54">
        <f>G18</f>
        <v>5.8521999999999998</v>
      </c>
      <c r="H19" s="24"/>
      <c r="I19" s="64">
        <v>45224</v>
      </c>
      <c r="J19" s="55">
        <v>90.13</v>
      </c>
      <c r="M19" s="61">
        <v>45809</v>
      </c>
      <c r="N19" s="31" t="s">
        <v>302</v>
      </c>
      <c r="O19" s="54">
        <f>O18</f>
        <v>74.977500000000006</v>
      </c>
      <c r="P19" s="54">
        <v>75.728200000000001</v>
      </c>
      <c r="Q19" s="54">
        <v>71.444761904761918</v>
      </c>
      <c r="R19" s="24"/>
    </row>
    <row r="20" spans="1:18">
      <c r="A20" s="22">
        <v>45226</v>
      </c>
      <c r="B20" s="54">
        <v>4.9480000000000004</v>
      </c>
      <c r="D20" s="1">
        <v>45839</v>
      </c>
      <c r="E20" s="31" t="s">
        <v>302</v>
      </c>
      <c r="F20" s="54">
        <f>AVERAGE(B438:B460)</f>
        <v>5.528491304347825</v>
      </c>
      <c r="G20" s="54">
        <f>G19</f>
        <v>5.8521999999999998</v>
      </c>
      <c r="H20" s="24"/>
      <c r="I20" s="64">
        <v>45225</v>
      </c>
      <c r="J20" s="55">
        <v>87.93</v>
      </c>
      <c r="M20" s="61">
        <v>45839</v>
      </c>
      <c r="N20" s="31" t="s">
        <v>302</v>
      </c>
      <c r="O20" s="54">
        <f>O19</f>
        <v>74.977500000000006</v>
      </c>
      <c r="P20" s="54">
        <v>75.728200000000001</v>
      </c>
      <c r="Q20" s="54">
        <v>71.041300000000007</v>
      </c>
      <c r="R20" s="24"/>
    </row>
    <row r="21" spans="1:18">
      <c r="A21" s="22">
        <v>45229</v>
      </c>
      <c r="B21" s="54">
        <v>5.0073999999999996</v>
      </c>
      <c r="D21" s="1">
        <v>45870</v>
      </c>
      <c r="E21" s="31" t="s">
        <v>302</v>
      </c>
      <c r="F21" s="54">
        <f>AVERAGE(B461:B481)</f>
        <v>5.4469238095238097</v>
      </c>
      <c r="G21" s="54">
        <f>ROUND(AVERAGE(B377:B437),4)</f>
        <v>5.6661000000000001</v>
      </c>
      <c r="H21" s="24"/>
      <c r="I21" s="64">
        <v>45226</v>
      </c>
      <c r="J21" s="55">
        <v>90.48</v>
      </c>
      <c r="M21" s="61">
        <v>45870</v>
      </c>
      <c r="N21" s="31" t="s">
        <v>302</v>
      </c>
      <c r="O21" s="54">
        <f>ROUND(AVERAGE(J388:J451),4)</f>
        <v>66.7119</v>
      </c>
      <c r="P21" s="54">
        <v>67.884</v>
      </c>
      <c r="Q21" s="54">
        <v>67.87</v>
      </c>
      <c r="R21" s="24"/>
    </row>
    <row r="22" spans="1:18">
      <c r="A22" s="22">
        <v>45230</v>
      </c>
      <c r="B22" s="54">
        <v>5.0575000000000001</v>
      </c>
      <c r="D22" s="1">
        <v>45901</v>
      </c>
      <c r="E22" s="31" t="s">
        <v>302</v>
      </c>
      <c r="F22" s="54">
        <f>AVERAGE(B482:B503)</f>
        <v>5.3674090909090912</v>
      </c>
      <c r="G22" s="54">
        <f>G21</f>
        <v>5.6661000000000001</v>
      </c>
      <c r="H22" s="24"/>
      <c r="I22" s="64">
        <v>45229</v>
      </c>
      <c r="J22" s="55">
        <v>87.45</v>
      </c>
      <c r="M22" s="61">
        <v>45901</v>
      </c>
      <c r="N22" s="31" t="s">
        <v>302</v>
      </c>
      <c r="O22" s="54">
        <f>O21</f>
        <v>66.7119</v>
      </c>
      <c r="P22" s="54">
        <v>67.884</v>
      </c>
      <c r="Q22" s="54">
        <v>67.985500000000002</v>
      </c>
      <c r="R22" s="24"/>
    </row>
    <row r="23" spans="1:18">
      <c r="A23" s="22">
        <v>45231</v>
      </c>
      <c r="B23" s="54">
        <v>5.0194000000000001</v>
      </c>
      <c r="D23" s="1">
        <v>45931</v>
      </c>
      <c r="E23" s="31" t="s">
        <v>302</v>
      </c>
      <c r="F23" s="54">
        <f>AVERAGE(B504:B526)</f>
        <v>5.3855260869565207</v>
      </c>
      <c r="G23" s="54">
        <f>G22</f>
        <v>5.6661000000000001</v>
      </c>
      <c r="I23" s="64">
        <v>45230</v>
      </c>
      <c r="J23" s="55">
        <v>87.41</v>
      </c>
      <c r="M23" s="61">
        <v>45931</v>
      </c>
      <c r="N23" s="31" t="s">
        <v>302</v>
      </c>
      <c r="O23" s="54">
        <f>O22</f>
        <v>66.7119</v>
      </c>
      <c r="P23" s="54">
        <v>67.884</v>
      </c>
      <c r="Q23" s="54">
        <v>64.543499999999995</v>
      </c>
    </row>
    <row r="24" spans="1:18">
      <c r="A24" s="22">
        <v>45233</v>
      </c>
      <c r="B24" s="54">
        <v>4.891</v>
      </c>
      <c r="D24" s="58">
        <v>45962</v>
      </c>
      <c r="E24" s="59" t="s">
        <v>303</v>
      </c>
      <c r="F24" s="60">
        <v>5.3749000000000002</v>
      </c>
      <c r="G24" s="54">
        <f>ROUND(AVERAGE(B438:B503),4)</f>
        <v>5.4488000000000003</v>
      </c>
      <c r="I24" s="64">
        <v>45231</v>
      </c>
      <c r="J24" s="55">
        <v>84.63</v>
      </c>
      <c r="M24" s="61">
        <v>45962</v>
      </c>
      <c r="N24" s="31" t="s">
        <v>302</v>
      </c>
      <c r="O24" s="54">
        <f>ROUND(AVERAGE(J452:J517),4)</f>
        <v>68.165000000000006</v>
      </c>
      <c r="P24" s="54">
        <v>69.1267</v>
      </c>
      <c r="Q24" s="60">
        <v>63</v>
      </c>
    </row>
    <row r="25" spans="1:18">
      <c r="A25" s="22">
        <v>45236</v>
      </c>
      <c r="B25" s="54">
        <v>4.8998999999999997</v>
      </c>
      <c r="D25" s="58">
        <v>45992</v>
      </c>
      <c r="E25" s="59" t="s">
        <v>303</v>
      </c>
      <c r="F25" s="60">
        <v>5.4114000000000004</v>
      </c>
      <c r="G25" s="54">
        <f>G24</f>
        <v>5.4488000000000003</v>
      </c>
      <c r="I25" s="64">
        <v>45232</v>
      </c>
      <c r="J25" s="55">
        <v>86.85</v>
      </c>
      <c r="M25" s="61">
        <v>45992</v>
      </c>
      <c r="N25" s="31" t="s">
        <v>302</v>
      </c>
      <c r="O25" s="54">
        <f>O24</f>
        <v>68.165000000000006</v>
      </c>
      <c r="P25" s="54">
        <v>69.1267</v>
      </c>
      <c r="Q25" s="60">
        <v>60</v>
      </c>
    </row>
    <row r="26" spans="1:18">
      <c r="A26" s="22">
        <v>45237</v>
      </c>
      <c r="B26" s="54">
        <v>4.867</v>
      </c>
      <c r="D26" s="58">
        <v>46023</v>
      </c>
      <c r="E26" s="59" t="s">
        <v>303</v>
      </c>
      <c r="F26" s="60">
        <v>5.4379999999999997</v>
      </c>
      <c r="G26" s="54">
        <f>G25</f>
        <v>5.4488000000000003</v>
      </c>
      <c r="I26" s="64">
        <v>45233</v>
      </c>
      <c r="J26" s="55">
        <v>84.89</v>
      </c>
      <c r="M26" s="61">
        <v>46023</v>
      </c>
      <c r="N26" s="31" t="s">
        <v>302</v>
      </c>
      <c r="O26" s="54">
        <f>O25</f>
        <v>68.165000000000006</v>
      </c>
      <c r="P26" s="54">
        <v>69.1267</v>
      </c>
      <c r="Q26" s="60">
        <v>56</v>
      </c>
    </row>
    <row r="27" spans="1:18">
      <c r="A27" s="22">
        <v>45238</v>
      </c>
      <c r="B27" s="54">
        <v>4.8855000000000004</v>
      </c>
      <c r="D27" s="58">
        <v>46054</v>
      </c>
      <c r="E27" s="59" t="s">
        <v>303</v>
      </c>
      <c r="F27" s="60">
        <v>5.4580000000000002</v>
      </c>
      <c r="G27" s="60">
        <f>ROUND(AVERAGE(F23:F25),4)</f>
        <v>5.3906000000000001</v>
      </c>
      <c r="I27" s="64">
        <v>45236</v>
      </c>
      <c r="J27" s="55">
        <v>85.18</v>
      </c>
      <c r="M27" s="62">
        <v>46054</v>
      </c>
      <c r="N27" s="59" t="s">
        <v>303</v>
      </c>
      <c r="O27" s="60">
        <f>ROUND(AVERAGE(Q23:Q25),4)</f>
        <v>62.514499999999998</v>
      </c>
      <c r="P27" s="60">
        <f>ROUND(AVERAGE(Q23:Q25),4)</f>
        <v>62.514499999999998</v>
      </c>
      <c r="Q27" s="60">
        <v>54</v>
      </c>
    </row>
    <row r="28" spans="1:18">
      <c r="A28" s="22">
        <v>45239</v>
      </c>
      <c r="B28" s="54">
        <v>4.9006999999999996</v>
      </c>
      <c r="D28" s="58">
        <v>46082</v>
      </c>
      <c r="E28" s="59" t="s">
        <v>303</v>
      </c>
      <c r="F28" s="60">
        <v>5.4820000000000002</v>
      </c>
      <c r="G28" s="60">
        <f>G27</f>
        <v>5.3906000000000001</v>
      </c>
      <c r="I28" s="64">
        <v>45237</v>
      </c>
      <c r="J28" s="55">
        <v>81.61</v>
      </c>
      <c r="M28" s="62">
        <v>46082</v>
      </c>
      <c r="N28" s="59" t="s">
        <v>303</v>
      </c>
      <c r="O28" s="60">
        <f>O27</f>
        <v>62.514499999999998</v>
      </c>
      <c r="P28" s="60">
        <f>P27</f>
        <v>62.514499999999998</v>
      </c>
      <c r="Q28" s="60">
        <v>53</v>
      </c>
    </row>
    <row r="29" spans="1:18">
      <c r="A29" s="22">
        <v>45240</v>
      </c>
      <c r="B29" s="54">
        <v>4.9218999999999999</v>
      </c>
      <c r="D29" s="58">
        <v>46113</v>
      </c>
      <c r="E29" s="59" t="s">
        <v>303</v>
      </c>
      <c r="F29" s="60">
        <v>5.5140000000000002</v>
      </c>
      <c r="G29" s="60">
        <f>G28</f>
        <v>5.3906000000000001</v>
      </c>
      <c r="I29" s="64">
        <v>45238</v>
      </c>
      <c r="J29" s="55">
        <v>79.540000000000006</v>
      </c>
      <c r="M29" s="62">
        <v>46113</v>
      </c>
      <c r="N29" s="59" t="s">
        <v>303</v>
      </c>
      <c r="O29" s="60">
        <f>O28</f>
        <v>62.514499999999998</v>
      </c>
      <c r="P29" s="60">
        <f>P28</f>
        <v>62.514499999999998</v>
      </c>
      <c r="Q29" s="60">
        <v>53</v>
      </c>
    </row>
    <row r="30" spans="1:18">
      <c r="A30" s="22">
        <v>45243</v>
      </c>
      <c r="B30" s="54">
        <v>4.9246999999999996</v>
      </c>
      <c r="D30" s="58">
        <v>46143</v>
      </c>
      <c r="E30" s="59" t="s">
        <v>303</v>
      </c>
      <c r="F30" s="60">
        <v>5.5359999999999996</v>
      </c>
      <c r="G30" s="60">
        <f>ROUND(AVERAGE(F26:F28),4)</f>
        <v>5.4592999999999998</v>
      </c>
      <c r="I30" s="64">
        <v>45239</v>
      </c>
      <c r="J30" s="55">
        <v>80.010000000000005</v>
      </c>
      <c r="M30" s="62">
        <v>46143</v>
      </c>
      <c r="N30" s="59" t="s">
        <v>303</v>
      </c>
      <c r="O30" s="60">
        <f>ROUND(AVERAGE(Q26:Q28),4)</f>
        <v>54.333300000000001</v>
      </c>
      <c r="P30" s="60">
        <f>ROUND(AVERAGE(Q26:Q28),4)</f>
        <v>54.333300000000001</v>
      </c>
      <c r="Q30" s="60">
        <v>54</v>
      </c>
    </row>
    <row r="31" spans="1:18">
      <c r="A31" s="22">
        <v>45244</v>
      </c>
      <c r="B31" s="54">
        <v>4.8681999999999999</v>
      </c>
      <c r="D31" s="58">
        <v>46174</v>
      </c>
      <c r="E31" s="59" t="s">
        <v>303</v>
      </c>
      <c r="F31" s="60">
        <v>5.5579999999999998</v>
      </c>
      <c r="G31" s="60">
        <f>G30</f>
        <v>5.4592999999999998</v>
      </c>
      <c r="I31" s="64">
        <v>45240</v>
      </c>
      <c r="J31" s="55">
        <v>81.430000000000007</v>
      </c>
      <c r="M31" s="62">
        <v>46174</v>
      </c>
      <c r="N31" s="59" t="s">
        <v>303</v>
      </c>
      <c r="O31" s="60">
        <f>O30</f>
        <v>54.333300000000001</v>
      </c>
      <c r="P31" s="60">
        <f>P30</f>
        <v>54.333300000000001</v>
      </c>
      <c r="Q31" s="60">
        <v>55</v>
      </c>
    </row>
    <row r="32" spans="1:18">
      <c r="A32" s="22">
        <v>45246</v>
      </c>
      <c r="B32" s="54">
        <v>4.8574999999999999</v>
      </c>
      <c r="D32" s="58">
        <v>46204</v>
      </c>
      <c r="E32" s="59" t="s">
        <v>303</v>
      </c>
      <c r="F32" s="60">
        <v>5.5780000000000003</v>
      </c>
      <c r="G32" s="60">
        <f>G31</f>
        <v>5.4592999999999998</v>
      </c>
      <c r="I32" s="64">
        <v>45243</v>
      </c>
      <c r="J32" s="55">
        <v>82.52</v>
      </c>
      <c r="M32" s="62">
        <v>46204</v>
      </c>
      <c r="N32" s="59" t="s">
        <v>303</v>
      </c>
      <c r="O32" s="60">
        <f>O31</f>
        <v>54.333300000000001</v>
      </c>
      <c r="P32" s="60">
        <f>P31</f>
        <v>54.333300000000001</v>
      </c>
      <c r="Q32" s="60">
        <v>55</v>
      </c>
    </row>
    <row r="33" spans="1:17">
      <c r="A33" s="22">
        <v>45247</v>
      </c>
      <c r="B33" s="54">
        <v>4.8849</v>
      </c>
      <c r="I33" s="64">
        <v>45244</v>
      </c>
      <c r="J33" s="55">
        <v>82.47</v>
      </c>
      <c r="M33"/>
      <c r="N33"/>
      <c r="Q33" s="54"/>
    </row>
    <row r="34" spans="1:17">
      <c r="A34" s="22">
        <v>45250</v>
      </c>
      <c r="B34" s="54">
        <v>4.8723000000000001</v>
      </c>
      <c r="I34" s="64">
        <v>45245</v>
      </c>
      <c r="J34" s="55">
        <v>81.180000000000007</v>
      </c>
      <c r="M34"/>
      <c r="N34"/>
      <c r="Q34" s="54"/>
    </row>
    <row r="35" spans="1:17">
      <c r="A35" s="22">
        <v>45251</v>
      </c>
      <c r="B35" s="54">
        <v>4.8806000000000003</v>
      </c>
      <c r="I35" s="64">
        <v>45246</v>
      </c>
      <c r="J35" s="55">
        <v>77.42</v>
      </c>
      <c r="M35"/>
      <c r="N35"/>
      <c r="Q35" s="54"/>
    </row>
    <row r="36" spans="1:17">
      <c r="A36" s="22">
        <v>45252</v>
      </c>
      <c r="B36" s="54">
        <v>4.8967999999999998</v>
      </c>
      <c r="I36" s="64">
        <v>45247</v>
      </c>
      <c r="J36" s="55">
        <v>80.61</v>
      </c>
      <c r="M36"/>
      <c r="N36"/>
      <c r="Q36" s="54"/>
    </row>
    <row r="37" spans="1:17">
      <c r="A37" s="22">
        <v>45253</v>
      </c>
      <c r="B37" s="54">
        <v>4.8930999999999996</v>
      </c>
      <c r="I37" s="64">
        <v>45250</v>
      </c>
      <c r="J37" s="55">
        <v>82.32</v>
      </c>
      <c r="M37"/>
      <c r="N37"/>
    </row>
    <row r="38" spans="1:17">
      <c r="A38" s="22">
        <v>45254</v>
      </c>
      <c r="B38" s="54">
        <v>4.8926999999999996</v>
      </c>
      <c r="I38" s="64">
        <v>45251</v>
      </c>
      <c r="J38" s="55">
        <v>82.45</v>
      </c>
    </row>
    <row r="39" spans="1:17">
      <c r="A39" s="22">
        <v>45257</v>
      </c>
      <c r="B39" s="54">
        <v>4.8951000000000002</v>
      </c>
      <c r="I39" s="64">
        <v>45252</v>
      </c>
      <c r="J39" s="55">
        <v>81.96</v>
      </c>
    </row>
    <row r="40" spans="1:17">
      <c r="A40" s="22">
        <v>45258</v>
      </c>
      <c r="B40" s="54">
        <v>4.8867000000000003</v>
      </c>
      <c r="I40" s="64">
        <v>45253</v>
      </c>
      <c r="J40" s="55">
        <v>81.42</v>
      </c>
    </row>
    <row r="41" spans="1:17">
      <c r="A41" s="22">
        <v>45259</v>
      </c>
      <c r="B41" s="54">
        <v>4.8933</v>
      </c>
      <c r="I41" s="64">
        <v>45254</v>
      </c>
      <c r="J41" s="55">
        <v>80.58</v>
      </c>
    </row>
    <row r="42" spans="1:17">
      <c r="A42" s="22">
        <v>45260</v>
      </c>
      <c r="B42" s="54">
        <v>4.9355000000000002</v>
      </c>
      <c r="I42" s="64">
        <v>45257</v>
      </c>
      <c r="J42" s="55">
        <v>79.98</v>
      </c>
    </row>
    <row r="43" spans="1:17">
      <c r="A43" s="22">
        <v>45261</v>
      </c>
      <c r="B43" s="54">
        <v>4.9191000000000003</v>
      </c>
      <c r="I43" s="64">
        <v>45258</v>
      </c>
      <c r="J43" s="55">
        <v>81.680000000000007</v>
      </c>
    </row>
    <row r="44" spans="1:17">
      <c r="A44" s="22">
        <v>45264</v>
      </c>
      <c r="B44" s="54">
        <v>4.9090999999999996</v>
      </c>
      <c r="I44" s="64">
        <v>45259</v>
      </c>
      <c r="J44" s="55">
        <v>83.1</v>
      </c>
    </row>
    <row r="45" spans="1:17">
      <c r="A45" s="22">
        <v>45265</v>
      </c>
      <c r="B45" s="54">
        <v>4.9522000000000004</v>
      </c>
      <c r="I45" s="64">
        <v>45260</v>
      </c>
      <c r="J45" s="55">
        <v>82.83</v>
      </c>
    </row>
    <row r="46" spans="1:17">
      <c r="A46" s="22">
        <v>45266</v>
      </c>
      <c r="B46" s="54">
        <v>4.9031000000000002</v>
      </c>
      <c r="I46" s="64">
        <v>45261</v>
      </c>
      <c r="J46" s="55">
        <v>78.88</v>
      </c>
    </row>
    <row r="47" spans="1:17">
      <c r="A47" s="22">
        <v>45267</v>
      </c>
      <c r="B47" s="54">
        <v>4.8948999999999998</v>
      </c>
      <c r="I47" s="64">
        <v>45264</v>
      </c>
      <c r="J47" s="55">
        <v>78.03</v>
      </c>
    </row>
    <row r="48" spans="1:17">
      <c r="A48" s="22">
        <v>45268</v>
      </c>
      <c r="B48" s="54">
        <v>4.9157999999999999</v>
      </c>
      <c r="I48" s="64">
        <v>45265</v>
      </c>
      <c r="J48" s="55">
        <v>77.2</v>
      </c>
    </row>
    <row r="49" spans="1:10">
      <c r="A49" s="22">
        <v>45271</v>
      </c>
      <c r="B49" s="54">
        <v>4.944</v>
      </c>
      <c r="I49" s="64">
        <v>45266</v>
      </c>
      <c r="J49" s="55">
        <v>74.3</v>
      </c>
    </row>
    <row r="50" spans="1:10">
      <c r="A50" s="22">
        <v>45272</v>
      </c>
      <c r="B50" s="54">
        <v>4.9476000000000004</v>
      </c>
      <c r="I50" s="64">
        <v>45267</v>
      </c>
      <c r="J50" s="55">
        <v>74.05</v>
      </c>
    </row>
    <row r="51" spans="1:10">
      <c r="A51" s="22">
        <v>45273</v>
      </c>
      <c r="B51" s="54">
        <v>4.9580000000000002</v>
      </c>
      <c r="I51" s="64">
        <v>45268</v>
      </c>
      <c r="J51" s="55">
        <v>75.84</v>
      </c>
    </row>
    <row r="52" spans="1:10">
      <c r="A52" s="22">
        <v>45274</v>
      </c>
      <c r="B52" s="54">
        <v>4.8912000000000004</v>
      </c>
      <c r="I52" s="64">
        <v>45271</v>
      </c>
      <c r="J52" s="55">
        <v>76.03</v>
      </c>
    </row>
    <row r="53" spans="1:10">
      <c r="A53" s="22">
        <v>45275</v>
      </c>
      <c r="B53" s="54">
        <v>4.9397000000000002</v>
      </c>
      <c r="I53" s="64">
        <v>45272</v>
      </c>
      <c r="J53" s="55">
        <v>73.239999999999995</v>
      </c>
    </row>
    <row r="54" spans="1:10">
      <c r="A54" s="22">
        <v>45278</v>
      </c>
      <c r="B54" s="54">
        <v>4.9398999999999997</v>
      </c>
      <c r="I54" s="64">
        <v>45273</v>
      </c>
      <c r="J54" s="55">
        <v>74.260000000000005</v>
      </c>
    </row>
    <row r="55" spans="1:10">
      <c r="A55" s="22">
        <v>45279</v>
      </c>
      <c r="B55" s="54">
        <v>4.8662999999999998</v>
      </c>
      <c r="I55" s="64">
        <v>45274</v>
      </c>
      <c r="J55" s="55">
        <v>76.61</v>
      </c>
    </row>
    <row r="56" spans="1:10">
      <c r="A56" s="22">
        <v>45280</v>
      </c>
      <c r="B56" s="54">
        <v>4.8765999999999998</v>
      </c>
      <c r="I56" s="64">
        <v>45275</v>
      </c>
      <c r="J56" s="55">
        <v>76.55</v>
      </c>
    </row>
    <row r="57" spans="1:10">
      <c r="A57" s="22">
        <v>45281</v>
      </c>
      <c r="B57" s="54">
        <v>4.8754999999999997</v>
      </c>
      <c r="I57" s="64">
        <v>45278</v>
      </c>
      <c r="J57" s="55">
        <v>77.95</v>
      </c>
    </row>
    <row r="58" spans="1:10">
      <c r="A58" s="22">
        <v>45282</v>
      </c>
      <c r="B58" s="54">
        <v>4.8619000000000003</v>
      </c>
      <c r="I58" s="64">
        <v>45279</v>
      </c>
      <c r="J58" s="55">
        <v>79.23</v>
      </c>
    </row>
    <row r="59" spans="1:10">
      <c r="A59" s="22">
        <v>45286</v>
      </c>
      <c r="B59" s="54">
        <v>4.8368000000000002</v>
      </c>
      <c r="I59" s="64">
        <v>45280</v>
      </c>
      <c r="J59" s="55">
        <v>79.7</v>
      </c>
    </row>
    <row r="60" spans="1:10">
      <c r="A60" s="22">
        <v>45287</v>
      </c>
      <c r="B60" s="54">
        <v>4.8305999999999996</v>
      </c>
      <c r="I60" s="64">
        <v>45281</v>
      </c>
      <c r="J60" s="55">
        <v>79.39</v>
      </c>
    </row>
    <row r="61" spans="1:10">
      <c r="A61" s="22">
        <v>45288</v>
      </c>
      <c r="B61" s="54">
        <v>4.8413000000000004</v>
      </c>
      <c r="I61" s="64">
        <v>45282</v>
      </c>
      <c r="J61" s="55">
        <v>79.069999999999993</v>
      </c>
    </row>
    <row r="62" spans="1:10">
      <c r="A62" s="22">
        <v>45289</v>
      </c>
      <c r="B62" s="54">
        <v>4.8413000000000004</v>
      </c>
      <c r="I62" s="64">
        <v>45286</v>
      </c>
      <c r="J62" s="55">
        <v>81.069999999999993</v>
      </c>
    </row>
    <row r="63" spans="1:10">
      <c r="A63" s="22">
        <v>45293</v>
      </c>
      <c r="B63" s="54">
        <v>4.8916000000000004</v>
      </c>
      <c r="I63" s="64">
        <v>45287</v>
      </c>
      <c r="J63" s="55">
        <v>79.650000000000006</v>
      </c>
    </row>
    <row r="64" spans="1:10">
      <c r="A64" s="22">
        <v>45294</v>
      </c>
      <c r="B64" s="54">
        <v>4.9211999999999998</v>
      </c>
      <c r="I64" s="64">
        <v>45288</v>
      </c>
      <c r="J64" s="55">
        <v>78.39</v>
      </c>
    </row>
    <row r="65" spans="1:10">
      <c r="A65" s="22">
        <v>45295</v>
      </c>
      <c r="B65" s="54">
        <v>4.9188000000000001</v>
      </c>
      <c r="I65" s="64">
        <v>45289</v>
      </c>
      <c r="J65" s="55">
        <v>77.040000000000006</v>
      </c>
    </row>
    <row r="66" spans="1:10">
      <c r="A66" s="22">
        <v>45296</v>
      </c>
      <c r="B66" s="54">
        <v>4.8898999999999999</v>
      </c>
      <c r="I66" s="64">
        <v>45293</v>
      </c>
      <c r="J66" s="55">
        <v>75.89</v>
      </c>
    </row>
    <row r="67" spans="1:10">
      <c r="A67" s="22">
        <v>45299</v>
      </c>
      <c r="B67" s="54">
        <v>4.8849999999999998</v>
      </c>
      <c r="I67" s="64">
        <v>45294</v>
      </c>
      <c r="J67" s="55">
        <v>78.25</v>
      </c>
    </row>
    <row r="68" spans="1:10">
      <c r="A68" s="22">
        <v>45300</v>
      </c>
      <c r="B68" s="54">
        <v>4.8936999999999999</v>
      </c>
      <c r="I68" s="64">
        <v>45295</v>
      </c>
      <c r="J68" s="55">
        <v>77.59</v>
      </c>
    </row>
    <row r="69" spans="1:10">
      <c r="A69" s="22">
        <v>45301</v>
      </c>
      <c r="B69" s="54">
        <v>4.8901000000000003</v>
      </c>
      <c r="I69" s="64">
        <v>45296</v>
      </c>
      <c r="J69" s="55">
        <v>78.760000000000005</v>
      </c>
    </row>
    <row r="70" spans="1:10">
      <c r="A70" s="22">
        <v>45302</v>
      </c>
      <c r="B70" s="54">
        <v>4.8794000000000004</v>
      </c>
      <c r="I70" s="64">
        <v>45299</v>
      </c>
      <c r="J70" s="55">
        <v>76.12</v>
      </c>
    </row>
    <row r="71" spans="1:10">
      <c r="A71" s="22">
        <v>45303</v>
      </c>
      <c r="B71" s="54">
        <v>4.8543000000000003</v>
      </c>
      <c r="I71" s="64">
        <v>45300</v>
      </c>
      <c r="J71" s="55">
        <v>77.59</v>
      </c>
    </row>
    <row r="72" spans="1:10">
      <c r="A72" s="22">
        <v>45306</v>
      </c>
      <c r="B72" s="54">
        <v>4.8765000000000001</v>
      </c>
      <c r="I72" s="64">
        <v>45301</v>
      </c>
      <c r="J72" s="55">
        <v>76.8</v>
      </c>
    </row>
    <row r="73" spans="1:10">
      <c r="A73" s="22">
        <v>45307</v>
      </c>
      <c r="B73" s="54">
        <v>4.9038000000000004</v>
      </c>
      <c r="I73" s="64">
        <v>45302</v>
      </c>
      <c r="J73" s="55">
        <v>77.41</v>
      </c>
    </row>
    <row r="74" spans="1:10">
      <c r="A74" s="22">
        <v>45308</v>
      </c>
      <c r="B74" s="54">
        <v>4.9345999999999997</v>
      </c>
      <c r="I74" s="64">
        <v>45303</v>
      </c>
      <c r="J74" s="55">
        <v>78.290000000000006</v>
      </c>
    </row>
    <row r="75" spans="1:10">
      <c r="A75" s="22">
        <v>45309</v>
      </c>
      <c r="B75" s="54">
        <v>4.9402999999999997</v>
      </c>
      <c r="I75" s="64">
        <v>45306</v>
      </c>
      <c r="J75" s="55">
        <v>78.150000000000006</v>
      </c>
    </row>
    <row r="76" spans="1:10">
      <c r="A76" s="22">
        <v>45310</v>
      </c>
      <c r="B76" s="54">
        <v>4.9222999999999999</v>
      </c>
      <c r="I76" s="64">
        <v>45307</v>
      </c>
      <c r="J76" s="55">
        <v>78.290000000000006</v>
      </c>
    </row>
    <row r="77" spans="1:10">
      <c r="A77" s="22">
        <v>45313</v>
      </c>
      <c r="B77" s="54">
        <v>4.9489999999999998</v>
      </c>
      <c r="I77" s="64">
        <v>45308</v>
      </c>
      <c r="J77" s="55">
        <v>77.88</v>
      </c>
    </row>
    <row r="78" spans="1:10">
      <c r="A78" s="22">
        <v>45314</v>
      </c>
      <c r="B78" s="54">
        <v>4.9714999999999998</v>
      </c>
      <c r="I78" s="64">
        <v>45309</v>
      </c>
      <c r="J78" s="55">
        <v>79.099999999999994</v>
      </c>
    </row>
    <row r="79" spans="1:10">
      <c r="A79" s="22">
        <v>45315</v>
      </c>
      <c r="B79" s="54">
        <v>4.9192</v>
      </c>
      <c r="I79" s="64">
        <v>45310</v>
      </c>
      <c r="J79" s="55">
        <v>78.56</v>
      </c>
    </row>
    <row r="80" spans="1:10">
      <c r="A80" s="22">
        <v>45316</v>
      </c>
      <c r="B80" s="54">
        <v>4.9231999999999996</v>
      </c>
      <c r="I80" s="64">
        <v>45313</v>
      </c>
      <c r="J80" s="55">
        <v>80.06</v>
      </c>
    </row>
    <row r="81" spans="1:10">
      <c r="A81" s="22">
        <v>45317</v>
      </c>
      <c r="B81" s="54">
        <v>4.9124999999999996</v>
      </c>
      <c r="I81" s="64">
        <v>45314</v>
      </c>
      <c r="J81" s="55">
        <v>79.55</v>
      </c>
    </row>
    <row r="82" spans="1:10">
      <c r="A82" s="22">
        <v>45320</v>
      </c>
      <c r="B82" s="54">
        <v>4.9225000000000003</v>
      </c>
      <c r="I82" s="64">
        <v>45315</v>
      </c>
      <c r="J82" s="55">
        <v>80.040000000000006</v>
      </c>
    </row>
    <row r="83" spans="1:10">
      <c r="A83" s="22">
        <v>45321</v>
      </c>
      <c r="B83" s="54">
        <v>4.9638</v>
      </c>
      <c r="I83" s="64">
        <v>45316</v>
      </c>
      <c r="J83" s="55">
        <v>82.43</v>
      </c>
    </row>
    <row r="84" spans="1:10">
      <c r="A84" s="22">
        <v>45322</v>
      </c>
      <c r="B84" s="54">
        <v>4.9535</v>
      </c>
      <c r="I84" s="64">
        <v>45317</v>
      </c>
      <c r="J84" s="55">
        <v>83.55</v>
      </c>
    </row>
    <row r="85" spans="1:10">
      <c r="A85" s="22">
        <v>45323</v>
      </c>
      <c r="B85" s="54">
        <v>4.9349999999999996</v>
      </c>
      <c r="I85" s="64">
        <v>45320</v>
      </c>
      <c r="J85" s="55">
        <v>82.4</v>
      </c>
    </row>
    <row r="86" spans="1:10">
      <c r="A86" s="22">
        <v>45324</v>
      </c>
      <c r="B86" s="54">
        <v>4.9470999999999998</v>
      </c>
      <c r="I86" s="64">
        <v>45321</v>
      </c>
      <c r="J86" s="55">
        <v>82.87</v>
      </c>
    </row>
    <row r="87" spans="1:10">
      <c r="A87" s="22">
        <v>45327</v>
      </c>
      <c r="B87" s="54">
        <v>5.0053000000000001</v>
      </c>
      <c r="I87" s="64">
        <v>45322</v>
      </c>
      <c r="J87" s="55">
        <v>81.709999999999994</v>
      </c>
    </row>
    <row r="88" spans="1:10">
      <c r="A88" s="22">
        <v>45328</v>
      </c>
      <c r="B88" s="54">
        <v>4.9687000000000001</v>
      </c>
      <c r="I88" s="64">
        <v>45323</v>
      </c>
      <c r="J88" s="55">
        <v>78.7</v>
      </c>
    </row>
    <row r="89" spans="1:10">
      <c r="A89" s="22">
        <v>45329</v>
      </c>
      <c r="B89" s="54">
        <v>4.9607999999999999</v>
      </c>
      <c r="I89" s="64">
        <v>45324</v>
      </c>
      <c r="J89" s="55">
        <v>77.33</v>
      </c>
    </row>
    <row r="90" spans="1:10">
      <c r="A90" s="22">
        <v>45330</v>
      </c>
      <c r="B90" s="54">
        <v>4.9804000000000004</v>
      </c>
      <c r="I90" s="64">
        <v>45327</v>
      </c>
      <c r="J90" s="55">
        <v>77.989999999999995</v>
      </c>
    </row>
    <row r="91" spans="1:10">
      <c r="A91" s="22">
        <v>45331</v>
      </c>
      <c r="B91" s="54">
        <v>4.9717000000000002</v>
      </c>
      <c r="I91" s="64">
        <v>45328</v>
      </c>
      <c r="J91" s="55">
        <v>78.59</v>
      </c>
    </row>
    <row r="92" spans="1:10">
      <c r="A92" s="22">
        <v>45336</v>
      </c>
      <c r="B92" s="54">
        <v>4.9722999999999997</v>
      </c>
      <c r="I92" s="64">
        <v>45329</v>
      </c>
      <c r="J92" s="55">
        <v>79.209999999999994</v>
      </c>
    </row>
    <row r="93" spans="1:10">
      <c r="A93" s="22">
        <v>45337</v>
      </c>
      <c r="B93" s="54">
        <v>4.9710000000000001</v>
      </c>
      <c r="I93" s="64">
        <v>45330</v>
      </c>
      <c r="J93" s="55">
        <v>81.63</v>
      </c>
    </row>
    <row r="94" spans="1:10">
      <c r="A94" s="22">
        <v>45338</v>
      </c>
      <c r="B94" s="54">
        <v>4.9760999999999997</v>
      </c>
      <c r="I94" s="64">
        <v>45331</v>
      </c>
      <c r="J94" s="55">
        <v>82.19</v>
      </c>
    </row>
    <row r="95" spans="1:10">
      <c r="A95" s="22">
        <v>45341</v>
      </c>
      <c r="B95" s="54">
        <v>4.9584999999999999</v>
      </c>
      <c r="I95" s="64">
        <v>45334</v>
      </c>
      <c r="J95" s="55">
        <v>82</v>
      </c>
    </row>
    <row r="96" spans="1:10">
      <c r="A96" s="22">
        <v>45342</v>
      </c>
      <c r="B96" s="54">
        <v>4.9408000000000003</v>
      </c>
      <c r="I96" s="64">
        <v>45335</v>
      </c>
      <c r="J96" s="55">
        <v>82.77</v>
      </c>
    </row>
    <row r="97" spans="1:10">
      <c r="A97" s="22">
        <v>45343</v>
      </c>
      <c r="B97" s="54">
        <v>4.9302999999999999</v>
      </c>
      <c r="I97" s="64">
        <v>45336</v>
      </c>
      <c r="J97" s="55">
        <v>81.599999999999994</v>
      </c>
    </row>
    <row r="98" spans="1:10">
      <c r="A98" s="22">
        <v>45344</v>
      </c>
      <c r="B98" s="54">
        <v>4.9419000000000004</v>
      </c>
      <c r="I98" s="64">
        <v>45337</v>
      </c>
      <c r="J98" s="55">
        <v>82.86</v>
      </c>
    </row>
    <row r="99" spans="1:10">
      <c r="A99" s="22">
        <v>45345</v>
      </c>
      <c r="B99" s="54">
        <v>4.9851000000000001</v>
      </c>
      <c r="I99" s="64">
        <v>45338</v>
      </c>
      <c r="J99" s="55">
        <v>83.47</v>
      </c>
    </row>
    <row r="100" spans="1:10">
      <c r="A100" s="22">
        <v>45348</v>
      </c>
      <c r="B100" s="54">
        <v>4.9819000000000004</v>
      </c>
      <c r="I100" s="64">
        <v>45341</v>
      </c>
      <c r="J100" s="55">
        <v>83.56</v>
      </c>
    </row>
    <row r="101" spans="1:10">
      <c r="A101" s="22">
        <v>45349</v>
      </c>
      <c r="B101" s="54">
        <v>4.9574999999999996</v>
      </c>
      <c r="I101" s="64">
        <v>45342</v>
      </c>
      <c r="J101" s="55">
        <v>82.34</v>
      </c>
    </row>
    <row r="102" spans="1:10">
      <c r="A102" s="22">
        <v>45350</v>
      </c>
      <c r="B102" s="54">
        <v>4.9557000000000002</v>
      </c>
      <c r="I102" s="64">
        <v>45343</v>
      </c>
      <c r="J102" s="55">
        <v>83.03</v>
      </c>
    </row>
    <row r="103" spans="1:10">
      <c r="A103" s="22">
        <v>45351</v>
      </c>
      <c r="B103" s="54">
        <v>4.9832999999999998</v>
      </c>
      <c r="I103" s="64">
        <v>45344</v>
      </c>
      <c r="J103" s="55">
        <v>83.67</v>
      </c>
    </row>
    <row r="104" spans="1:10">
      <c r="A104" s="22">
        <v>45352</v>
      </c>
      <c r="B104" s="54">
        <v>4.9596</v>
      </c>
      <c r="I104" s="64">
        <v>45345</v>
      </c>
      <c r="J104" s="55">
        <v>81.62</v>
      </c>
    </row>
    <row r="105" spans="1:10">
      <c r="A105" s="22">
        <v>45355</v>
      </c>
      <c r="B105" s="54">
        <v>4.9474999999999998</v>
      </c>
      <c r="I105" s="64">
        <v>45348</v>
      </c>
      <c r="J105" s="55">
        <v>82.53</v>
      </c>
    </row>
    <row r="106" spans="1:10">
      <c r="A106" s="22">
        <v>45356</v>
      </c>
      <c r="B106" s="54">
        <v>4.9488000000000003</v>
      </c>
      <c r="I106" s="64">
        <v>45349</v>
      </c>
      <c r="J106" s="55">
        <v>83.65</v>
      </c>
    </row>
    <row r="107" spans="1:10">
      <c r="A107" s="22">
        <v>45357</v>
      </c>
      <c r="B107" s="54">
        <v>4.9398</v>
      </c>
      <c r="I107" s="64">
        <v>45350</v>
      </c>
      <c r="J107" s="55">
        <v>83.68</v>
      </c>
    </row>
    <row r="108" spans="1:10">
      <c r="A108" s="22">
        <v>45358</v>
      </c>
      <c r="B108" s="54">
        <v>4.9363999999999999</v>
      </c>
      <c r="I108" s="64">
        <v>45351</v>
      </c>
      <c r="J108" s="55">
        <v>83.62</v>
      </c>
    </row>
    <row r="109" spans="1:10">
      <c r="A109" s="22">
        <v>45359</v>
      </c>
      <c r="B109" s="54">
        <v>4.9751000000000003</v>
      </c>
      <c r="I109" s="64">
        <v>45352</v>
      </c>
      <c r="J109" s="55">
        <v>83.55</v>
      </c>
    </row>
    <row r="110" spans="1:10">
      <c r="A110" s="22">
        <v>45362</v>
      </c>
      <c r="B110" s="54">
        <v>4.9776999999999996</v>
      </c>
      <c r="I110" s="64">
        <v>45355</v>
      </c>
      <c r="J110" s="55">
        <v>82.8</v>
      </c>
    </row>
    <row r="111" spans="1:10">
      <c r="A111" s="22">
        <v>45363</v>
      </c>
      <c r="B111" s="54">
        <v>4.9813000000000001</v>
      </c>
      <c r="I111" s="64">
        <v>45356</v>
      </c>
      <c r="J111" s="55">
        <v>82.04</v>
      </c>
    </row>
    <row r="112" spans="1:10">
      <c r="A112" s="22">
        <v>45364</v>
      </c>
      <c r="B112" s="54">
        <v>4.9802999999999997</v>
      </c>
      <c r="I112" s="64">
        <v>45357</v>
      </c>
      <c r="J112" s="55">
        <v>82.96</v>
      </c>
    </row>
    <row r="113" spans="1:10">
      <c r="A113" s="22">
        <v>45365</v>
      </c>
      <c r="B113" s="54">
        <v>4.9767999999999999</v>
      </c>
      <c r="I113" s="64">
        <v>45358</v>
      </c>
      <c r="J113" s="55">
        <v>82.96</v>
      </c>
    </row>
    <row r="114" spans="1:10">
      <c r="A114" s="22">
        <v>45366</v>
      </c>
      <c r="B114" s="54">
        <v>4.9936999999999996</v>
      </c>
      <c r="I114" s="64">
        <v>45359</v>
      </c>
      <c r="J114" s="55">
        <v>82.08</v>
      </c>
    </row>
    <row r="115" spans="1:10">
      <c r="A115" s="22">
        <v>45369</v>
      </c>
      <c r="B115" s="54">
        <v>5.0124000000000004</v>
      </c>
      <c r="I115" s="64">
        <v>45362</v>
      </c>
      <c r="J115" s="55">
        <v>82.21</v>
      </c>
    </row>
    <row r="116" spans="1:10">
      <c r="A116" s="22">
        <v>45370</v>
      </c>
      <c r="B116" s="54">
        <v>5.0351999999999997</v>
      </c>
      <c r="I116" s="64">
        <v>45363</v>
      </c>
      <c r="J116" s="55">
        <v>81.92</v>
      </c>
    </row>
    <row r="117" spans="1:10">
      <c r="A117" s="22">
        <v>45371</v>
      </c>
      <c r="B117" s="54">
        <v>5.0119999999999996</v>
      </c>
      <c r="I117" s="64">
        <v>45364</v>
      </c>
      <c r="J117" s="55">
        <v>84.03</v>
      </c>
    </row>
    <row r="118" spans="1:10">
      <c r="A118" s="22">
        <v>45372</v>
      </c>
      <c r="B118" s="54">
        <v>4.9806999999999997</v>
      </c>
      <c r="I118" s="64">
        <v>45365</v>
      </c>
      <c r="J118" s="55">
        <v>85.42</v>
      </c>
    </row>
    <row r="119" spans="1:10">
      <c r="A119" s="22">
        <v>45373</v>
      </c>
      <c r="B119" s="54">
        <v>4.9897</v>
      </c>
      <c r="I119" s="64">
        <v>45366</v>
      </c>
      <c r="J119" s="55">
        <v>85.34</v>
      </c>
    </row>
    <row r="120" spans="1:10">
      <c r="A120" s="22">
        <v>45376</v>
      </c>
      <c r="B120" s="54">
        <v>4.9869000000000003</v>
      </c>
      <c r="I120" s="64">
        <v>45369</v>
      </c>
      <c r="J120" s="55">
        <v>86.89</v>
      </c>
    </row>
    <row r="121" spans="1:10">
      <c r="A121" s="22">
        <v>45377</v>
      </c>
      <c r="B121" s="54">
        <v>4.9870000000000001</v>
      </c>
      <c r="I121" s="64">
        <v>45370</v>
      </c>
      <c r="J121" s="55">
        <v>87.38</v>
      </c>
    </row>
    <row r="122" spans="1:10">
      <c r="A122" s="22">
        <v>45378</v>
      </c>
      <c r="B122" s="54">
        <v>4.9855999999999998</v>
      </c>
      <c r="I122" s="64">
        <v>45371</v>
      </c>
      <c r="J122" s="55">
        <v>85.95</v>
      </c>
    </row>
    <row r="123" spans="1:10">
      <c r="A123" s="22">
        <v>45379</v>
      </c>
      <c r="B123" s="54">
        <v>4.9962</v>
      </c>
      <c r="I123" s="64">
        <v>45372</v>
      </c>
      <c r="J123" s="55">
        <v>85.78</v>
      </c>
    </row>
    <row r="124" spans="1:10">
      <c r="A124" s="22">
        <v>45383</v>
      </c>
      <c r="B124" s="54">
        <v>5.0532000000000004</v>
      </c>
      <c r="I124" s="64">
        <v>45373</v>
      </c>
      <c r="J124" s="55">
        <v>85.43</v>
      </c>
    </row>
    <row r="125" spans="1:10">
      <c r="A125" s="22">
        <v>45384</v>
      </c>
      <c r="B125" s="54">
        <v>5.0476000000000001</v>
      </c>
      <c r="I125" s="64">
        <v>45376</v>
      </c>
      <c r="J125" s="55">
        <v>86.75</v>
      </c>
    </row>
    <row r="126" spans="1:10">
      <c r="A126" s="22">
        <v>45385</v>
      </c>
      <c r="B126" s="54">
        <v>5.0724</v>
      </c>
      <c r="I126" s="64">
        <v>45377</v>
      </c>
      <c r="J126" s="55">
        <v>86.25</v>
      </c>
    </row>
    <row r="127" spans="1:10">
      <c r="A127" s="22">
        <v>45386</v>
      </c>
      <c r="B127" s="54">
        <v>5.0236999999999998</v>
      </c>
      <c r="I127" s="64">
        <v>45378</v>
      </c>
      <c r="J127" s="55">
        <v>86.09</v>
      </c>
    </row>
    <row r="128" spans="1:10">
      <c r="A128" s="22">
        <v>45387</v>
      </c>
      <c r="B128" s="54">
        <v>5.0519999999999996</v>
      </c>
      <c r="I128" s="64">
        <v>45379</v>
      </c>
      <c r="J128" s="55">
        <v>87.48</v>
      </c>
    </row>
    <row r="129" spans="1:10">
      <c r="A129" s="22">
        <v>45390</v>
      </c>
      <c r="B129" s="54">
        <v>5.0420999999999996</v>
      </c>
      <c r="I129" s="64">
        <v>45383</v>
      </c>
      <c r="J129" s="55">
        <v>87.42</v>
      </c>
    </row>
    <row r="130" spans="1:10">
      <c r="A130" s="22">
        <v>45391</v>
      </c>
      <c r="B130" s="54">
        <v>5.008</v>
      </c>
      <c r="I130" s="64">
        <v>45384</v>
      </c>
      <c r="J130" s="55">
        <v>88.92</v>
      </c>
    </row>
    <row r="131" spans="1:10">
      <c r="A131" s="22">
        <v>45392</v>
      </c>
      <c r="B131" s="54">
        <v>5.0654000000000003</v>
      </c>
      <c r="I131" s="64">
        <v>45385</v>
      </c>
      <c r="J131" s="55">
        <v>89.35</v>
      </c>
    </row>
    <row r="132" spans="1:10">
      <c r="A132" s="22">
        <v>45393</v>
      </c>
      <c r="B132" s="54">
        <v>5.0765000000000002</v>
      </c>
      <c r="I132" s="64">
        <v>45386</v>
      </c>
      <c r="J132" s="55">
        <v>90.65</v>
      </c>
    </row>
    <row r="133" spans="1:10">
      <c r="A133" s="22">
        <v>45394</v>
      </c>
      <c r="B133" s="54">
        <v>5.1364000000000001</v>
      </c>
      <c r="I133" s="64">
        <v>45387</v>
      </c>
      <c r="J133" s="55">
        <v>91.17</v>
      </c>
    </row>
    <row r="134" spans="1:10">
      <c r="A134" s="22">
        <v>45397</v>
      </c>
      <c r="B134" s="54">
        <v>5.1745999999999999</v>
      </c>
      <c r="I134" s="64">
        <v>45390</v>
      </c>
      <c r="J134" s="55">
        <v>90.38</v>
      </c>
    </row>
    <row r="135" spans="1:10">
      <c r="A135" s="22">
        <v>45398</v>
      </c>
      <c r="B135" s="54">
        <v>5.2634999999999996</v>
      </c>
      <c r="I135" s="64">
        <v>45391</v>
      </c>
      <c r="J135" s="55">
        <v>89.42</v>
      </c>
    </row>
    <row r="136" spans="1:10">
      <c r="A136" s="22">
        <v>45399</v>
      </c>
      <c r="B136" s="54">
        <v>5.2469000000000001</v>
      </c>
      <c r="I136" s="64">
        <v>45392</v>
      </c>
      <c r="J136" s="55">
        <v>90.48</v>
      </c>
    </row>
    <row r="137" spans="1:10">
      <c r="A137" s="22">
        <v>45400</v>
      </c>
      <c r="B137" s="54">
        <v>5.2511999999999999</v>
      </c>
      <c r="I137" s="64">
        <v>45393</v>
      </c>
      <c r="J137" s="55">
        <v>89.74</v>
      </c>
    </row>
    <row r="138" spans="1:10">
      <c r="A138" s="22">
        <v>45401</v>
      </c>
      <c r="B138" s="54">
        <v>5.2268999999999997</v>
      </c>
      <c r="I138" s="64">
        <v>45394</v>
      </c>
      <c r="J138" s="55">
        <v>90.45</v>
      </c>
    </row>
    <row r="139" spans="1:10">
      <c r="A139" s="22">
        <v>45404</v>
      </c>
      <c r="B139" s="54">
        <v>5.2042999999999999</v>
      </c>
      <c r="I139" s="64">
        <v>45397</v>
      </c>
      <c r="J139" s="55">
        <v>90.1</v>
      </c>
    </row>
    <row r="140" spans="1:10">
      <c r="A140" s="22">
        <v>45405</v>
      </c>
      <c r="B140" s="54">
        <v>5.1626000000000003</v>
      </c>
      <c r="I140" s="64">
        <v>45398</v>
      </c>
      <c r="J140" s="55">
        <v>90.02</v>
      </c>
    </row>
    <row r="141" spans="1:10">
      <c r="A141" s="22">
        <v>45406</v>
      </c>
      <c r="B141" s="54">
        <v>5.1592000000000002</v>
      </c>
      <c r="I141" s="64">
        <v>45399</v>
      </c>
      <c r="J141" s="55">
        <v>87.29</v>
      </c>
    </row>
    <row r="142" spans="1:10">
      <c r="A142" s="22">
        <v>45407</v>
      </c>
      <c r="B142" s="54">
        <v>5.1679000000000004</v>
      </c>
      <c r="I142" s="64">
        <v>45400</v>
      </c>
      <c r="J142" s="55">
        <v>87.11</v>
      </c>
    </row>
    <row r="143" spans="1:10">
      <c r="A143" s="22">
        <v>45408</v>
      </c>
      <c r="B143" s="54">
        <v>5.1184000000000003</v>
      </c>
      <c r="I143" s="64">
        <v>45401</v>
      </c>
      <c r="J143" s="55">
        <v>87.29</v>
      </c>
    </row>
    <row r="144" spans="1:10">
      <c r="A144" s="22">
        <v>45411</v>
      </c>
      <c r="B144" s="54">
        <v>5.1154999999999999</v>
      </c>
      <c r="I144" s="64">
        <v>45404</v>
      </c>
      <c r="J144" s="55">
        <v>87</v>
      </c>
    </row>
    <row r="145" spans="1:10">
      <c r="A145" s="22">
        <v>45412</v>
      </c>
      <c r="B145" s="54">
        <v>5.1718000000000002</v>
      </c>
      <c r="I145" s="64">
        <v>45405</v>
      </c>
      <c r="J145" s="55">
        <v>88.42</v>
      </c>
    </row>
    <row r="146" spans="1:10">
      <c r="A146" s="22">
        <v>45414</v>
      </c>
      <c r="B146" s="54">
        <v>5.1184000000000003</v>
      </c>
      <c r="I146" s="64">
        <v>45406</v>
      </c>
      <c r="J146" s="55">
        <v>88.02</v>
      </c>
    </row>
    <row r="147" spans="1:10">
      <c r="A147" s="22">
        <v>45415</v>
      </c>
      <c r="B147" s="54">
        <v>5.0667999999999997</v>
      </c>
      <c r="I147" s="64">
        <v>45407</v>
      </c>
      <c r="J147" s="55">
        <v>89.01</v>
      </c>
    </row>
    <row r="148" spans="1:10">
      <c r="A148" s="22">
        <v>45418</v>
      </c>
      <c r="B148" s="54">
        <v>5.0727000000000002</v>
      </c>
      <c r="I148" s="64">
        <v>45408</v>
      </c>
      <c r="J148" s="55">
        <v>89.5</v>
      </c>
    </row>
    <row r="149" spans="1:10">
      <c r="A149" s="22">
        <v>45419</v>
      </c>
      <c r="B149" s="54">
        <v>5.0609999999999999</v>
      </c>
      <c r="I149" s="64">
        <v>45411</v>
      </c>
      <c r="J149" s="55">
        <v>88.4</v>
      </c>
    </row>
    <row r="150" spans="1:10">
      <c r="A150" s="22">
        <v>45420</v>
      </c>
      <c r="B150" s="54">
        <v>5.0887000000000002</v>
      </c>
      <c r="I150" s="64">
        <v>45412</v>
      </c>
      <c r="J150" s="55">
        <v>87.86</v>
      </c>
    </row>
    <row r="151" spans="1:10">
      <c r="A151" s="22">
        <v>45421</v>
      </c>
      <c r="B151" s="54">
        <v>5.1577000000000002</v>
      </c>
      <c r="I151" s="64">
        <v>45413</v>
      </c>
      <c r="J151" s="55">
        <v>83.44</v>
      </c>
    </row>
    <row r="152" spans="1:10">
      <c r="A152" s="22">
        <v>45422</v>
      </c>
      <c r="B152" s="54">
        <v>5.1463999999999999</v>
      </c>
      <c r="I152" s="64">
        <v>45414</v>
      </c>
      <c r="J152" s="55">
        <v>83.67</v>
      </c>
    </row>
    <row r="153" spans="1:10">
      <c r="A153" s="22">
        <v>45425</v>
      </c>
      <c r="B153" s="54">
        <v>5.1412000000000004</v>
      </c>
      <c r="I153" s="64">
        <v>45415</v>
      </c>
      <c r="J153" s="55">
        <v>82.96</v>
      </c>
    </row>
    <row r="154" spans="1:10">
      <c r="A154" s="22">
        <v>45426</v>
      </c>
      <c r="B154" s="54">
        <v>5.1356000000000002</v>
      </c>
      <c r="I154" s="64">
        <v>45418</v>
      </c>
      <c r="J154" s="55">
        <v>83.33</v>
      </c>
    </row>
    <row r="155" spans="1:10">
      <c r="A155" s="22">
        <v>45427</v>
      </c>
      <c r="B155" s="54">
        <v>5.1422999999999996</v>
      </c>
      <c r="I155" s="64">
        <v>45419</v>
      </c>
      <c r="J155" s="55">
        <v>83.16</v>
      </c>
    </row>
    <row r="156" spans="1:10">
      <c r="A156" s="22">
        <v>45428</v>
      </c>
      <c r="B156" s="54">
        <v>5.1269999999999998</v>
      </c>
      <c r="I156" s="64">
        <v>45420</v>
      </c>
      <c r="J156" s="55">
        <v>83.58</v>
      </c>
    </row>
    <row r="157" spans="1:10">
      <c r="A157" s="22">
        <v>45429</v>
      </c>
      <c r="B157" s="54">
        <v>5.1157000000000004</v>
      </c>
      <c r="I157" s="64">
        <v>45421</v>
      </c>
      <c r="J157" s="55">
        <v>83.88</v>
      </c>
    </row>
    <row r="158" spans="1:10">
      <c r="A158" s="22">
        <v>45432</v>
      </c>
      <c r="B158" s="54">
        <v>5.1085000000000003</v>
      </c>
      <c r="I158" s="64">
        <v>45422</v>
      </c>
      <c r="J158" s="55">
        <v>82.79</v>
      </c>
    </row>
    <row r="159" spans="1:10">
      <c r="A159" s="22">
        <v>45433</v>
      </c>
      <c r="B159" s="54">
        <v>5.1036999999999999</v>
      </c>
      <c r="I159" s="64">
        <v>45425</v>
      </c>
      <c r="J159" s="55">
        <v>83.36</v>
      </c>
    </row>
    <row r="160" spans="1:10">
      <c r="A160" s="22">
        <v>45434</v>
      </c>
      <c r="B160" s="54">
        <v>5.1501999999999999</v>
      </c>
      <c r="I160" s="64">
        <v>45426</v>
      </c>
      <c r="J160" s="55">
        <v>82.38</v>
      </c>
    </row>
    <row r="161" spans="1:10">
      <c r="A161" s="22">
        <v>45435</v>
      </c>
      <c r="B161" s="54">
        <v>5.1443000000000003</v>
      </c>
      <c r="I161" s="64">
        <v>45427</v>
      </c>
      <c r="J161" s="55">
        <v>82.75</v>
      </c>
    </row>
    <row r="162" spans="1:10">
      <c r="A162" s="22">
        <v>45436</v>
      </c>
      <c r="B162" s="54">
        <v>5.1508000000000003</v>
      </c>
      <c r="I162" s="64">
        <v>45428</v>
      </c>
      <c r="J162" s="55">
        <v>83.27</v>
      </c>
    </row>
    <row r="163" spans="1:10">
      <c r="A163" s="22">
        <v>45439</v>
      </c>
      <c r="B163" s="54">
        <v>5.1703999999999999</v>
      </c>
      <c r="I163" s="64">
        <v>45429</v>
      </c>
      <c r="J163" s="55">
        <v>83.98</v>
      </c>
    </row>
    <row r="164" spans="1:10">
      <c r="A164" s="22">
        <v>45440</v>
      </c>
      <c r="B164" s="54">
        <v>5.1538000000000004</v>
      </c>
      <c r="I164" s="64">
        <v>45432</v>
      </c>
      <c r="J164" s="55">
        <v>83.71</v>
      </c>
    </row>
    <row r="165" spans="1:10">
      <c r="A165" s="22">
        <v>45441</v>
      </c>
      <c r="B165" s="54">
        <v>5.1971999999999996</v>
      </c>
      <c r="I165" s="64">
        <v>45433</v>
      </c>
      <c r="J165" s="55">
        <v>82.88</v>
      </c>
    </row>
    <row r="166" spans="1:10">
      <c r="A166" s="22">
        <v>45443</v>
      </c>
      <c r="B166" s="54">
        <v>5.2416</v>
      </c>
      <c r="I166" s="64">
        <v>45434</v>
      </c>
      <c r="J166" s="55">
        <v>81.900000000000006</v>
      </c>
    </row>
    <row r="167" spans="1:10">
      <c r="A167" s="22">
        <v>45446</v>
      </c>
      <c r="B167" s="54">
        <v>5.2373000000000003</v>
      </c>
      <c r="I167" s="64">
        <v>45435</v>
      </c>
      <c r="J167" s="55">
        <v>81.36</v>
      </c>
    </row>
    <row r="168" spans="1:10">
      <c r="A168" s="22">
        <v>45447</v>
      </c>
      <c r="B168" s="54">
        <v>5.2686999999999999</v>
      </c>
      <c r="I168" s="64">
        <v>45436</v>
      </c>
      <c r="J168" s="55">
        <v>82.12</v>
      </c>
    </row>
    <row r="169" spans="1:10">
      <c r="A169" s="22">
        <v>45448</v>
      </c>
      <c r="B169" s="54">
        <v>5.2840999999999996</v>
      </c>
      <c r="I169" s="64">
        <v>45439</v>
      </c>
      <c r="J169" s="55">
        <v>83.1</v>
      </c>
    </row>
    <row r="170" spans="1:10">
      <c r="A170" s="22">
        <v>45449</v>
      </c>
      <c r="B170" s="54">
        <v>5.2680999999999996</v>
      </c>
      <c r="I170" s="64">
        <v>45440</v>
      </c>
      <c r="J170" s="55">
        <v>84.22</v>
      </c>
    </row>
    <row r="171" spans="1:10">
      <c r="A171" s="22">
        <v>45450</v>
      </c>
      <c r="B171" s="54">
        <v>5.2801999999999998</v>
      </c>
      <c r="I171" s="64">
        <v>45441</v>
      </c>
      <c r="J171" s="55">
        <v>83.6</v>
      </c>
    </row>
    <row r="172" spans="1:10">
      <c r="A172" s="22">
        <v>45453</v>
      </c>
      <c r="B172" s="54">
        <v>5.3666</v>
      </c>
      <c r="I172" s="64">
        <v>45442</v>
      </c>
      <c r="J172" s="55">
        <v>81.86</v>
      </c>
    </row>
    <row r="173" spans="1:10">
      <c r="A173" s="22">
        <v>45454</v>
      </c>
      <c r="B173" s="54">
        <v>5.3524000000000003</v>
      </c>
      <c r="I173" s="64">
        <v>45443</v>
      </c>
      <c r="J173" s="55">
        <v>81.62</v>
      </c>
    </row>
    <row r="174" spans="1:10">
      <c r="A174" s="22">
        <v>45455</v>
      </c>
      <c r="B174" s="54">
        <v>5.3891</v>
      </c>
      <c r="I174" s="64">
        <v>45446</v>
      </c>
      <c r="J174" s="55">
        <v>78.36</v>
      </c>
    </row>
    <row r="175" spans="1:10">
      <c r="A175" s="22">
        <v>45456</v>
      </c>
      <c r="B175" s="54">
        <v>5.3974000000000002</v>
      </c>
      <c r="I175" s="64">
        <v>45447</v>
      </c>
      <c r="J175" s="55">
        <v>77.52</v>
      </c>
    </row>
    <row r="176" spans="1:10">
      <c r="A176" s="22">
        <v>45457</v>
      </c>
      <c r="B176" s="54">
        <v>5.3630000000000004</v>
      </c>
      <c r="I176" s="64">
        <v>45448</v>
      </c>
      <c r="J176" s="55">
        <v>78.41</v>
      </c>
    </row>
    <row r="177" spans="1:10">
      <c r="A177" s="22">
        <v>45460</v>
      </c>
      <c r="B177" s="54">
        <v>5.4130000000000003</v>
      </c>
      <c r="I177" s="64">
        <v>45449</v>
      </c>
      <c r="J177" s="55">
        <v>79.87</v>
      </c>
    </row>
    <row r="178" spans="1:10">
      <c r="A178" s="22">
        <v>45461</v>
      </c>
      <c r="B178" s="54">
        <v>5.4074</v>
      </c>
      <c r="I178" s="64">
        <v>45450</v>
      </c>
      <c r="J178" s="55">
        <v>79.62</v>
      </c>
    </row>
    <row r="179" spans="1:10">
      <c r="A179" s="22">
        <v>45462</v>
      </c>
      <c r="B179" s="54">
        <v>5.4646999999999997</v>
      </c>
      <c r="I179" s="64">
        <v>45453</v>
      </c>
      <c r="J179" s="55">
        <v>81.63</v>
      </c>
    </row>
    <row r="180" spans="1:10">
      <c r="A180" s="22">
        <v>45463</v>
      </c>
      <c r="B180" s="54">
        <v>5.4253999999999998</v>
      </c>
      <c r="I180" s="64">
        <v>45454</v>
      </c>
      <c r="J180" s="55">
        <v>81.92</v>
      </c>
    </row>
    <row r="181" spans="1:10">
      <c r="A181" s="22">
        <v>45464</v>
      </c>
      <c r="B181" s="54">
        <v>5.4416000000000002</v>
      </c>
      <c r="I181" s="64">
        <v>45455</v>
      </c>
      <c r="J181" s="55">
        <v>82.6</v>
      </c>
    </row>
    <row r="182" spans="1:10">
      <c r="A182" s="22">
        <v>45467</v>
      </c>
      <c r="B182" s="54">
        <v>5.4</v>
      </c>
      <c r="I182" s="64">
        <v>45456</v>
      </c>
      <c r="J182" s="55">
        <v>82.75</v>
      </c>
    </row>
    <row r="183" spans="1:10">
      <c r="A183" s="22">
        <v>45468</v>
      </c>
      <c r="B183" s="54">
        <v>5.4290000000000003</v>
      </c>
      <c r="I183" s="64">
        <v>45457</v>
      </c>
      <c r="J183" s="55">
        <v>82.62</v>
      </c>
    </row>
    <row r="184" spans="1:10">
      <c r="A184" s="22">
        <v>45469</v>
      </c>
      <c r="B184" s="54">
        <v>5.5096999999999996</v>
      </c>
      <c r="I184" s="64">
        <v>45460</v>
      </c>
      <c r="J184" s="55">
        <v>84.25</v>
      </c>
    </row>
    <row r="185" spans="1:10">
      <c r="A185" s="22">
        <v>45470</v>
      </c>
      <c r="B185" s="54">
        <v>5.5228999999999999</v>
      </c>
      <c r="I185" s="64">
        <v>45461</v>
      </c>
      <c r="J185" s="55">
        <v>85.33</v>
      </c>
    </row>
    <row r="186" spans="1:10">
      <c r="A186" s="22">
        <v>45471</v>
      </c>
      <c r="B186" s="54">
        <v>5.5589000000000004</v>
      </c>
      <c r="I186" s="64">
        <v>45462</v>
      </c>
      <c r="J186" s="55">
        <v>85.07</v>
      </c>
    </row>
    <row r="187" spans="1:10">
      <c r="A187" s="22">
        <v>45474</v>
      </c>
      <c r="B187" s="54">
        <v>5.5892999999999997</v>
      </c>
      <c r="I187" s="64">
        <v>45463</v>
      </c>
      <c r="J187" s="55">
        <v>85.71</v>
      </c>
    </row>
    <row r="188" spans="1:10">
      <c r="A188" s="22">
        <v>45475</v>
      </c>
      <c r="B188" s="54">
        <v>5.6677</v>
      </c>
      <c r="I188" s="64">
        <v>45464</v>
      </c>
      <c r="J188" s="55">
        <v>85.24</v>
      </c>
    </row>
    <row r="189" spans="1:10">
      <c r="A189" s="22">
        <v>45476</v>
      </c>
      <c r="B189" s="54">
        <v>5.5862999999999996</v>
      </c>
      <c r="I189" s="64">
        <v>45467</v>
      </c>
      <c r="J189" s="55">
        <v>86.01</v>
      </c>
    </row>
    <row r="190" spans="1:10">
      <c r="A190" s="22">
        <v>45477</v>
      </c>
      <c r="B190" s="54">
        <v>5.4839000000000002</v>
      </c>
      <c r="I190" s="64">
        <v>45468</v>
      </c>
      <c r="J190" s="55">
        <v>85.01</v>
      </c>
    </row>
    <row r="191" spans="1:10">
      <c r="A191" s="22">
        <v>45478</v>
      </c>
      <c r="B191" s="54">
        <v>5.4969999999999999</v>
      </c>
      <c r="I191" s="64">
        <v>45469</v>
      </c>
      <c r="J191" s="55">
        <v>85.25</v>
      </c>
    </row>
    <row r="192" spans="1:10">
      <c r="A192" s="22">
        <v>45481</v>
      </c>
      <c r="B192" s="54">
        <v>5.4720000000000004</v>
      </c>
      <c r="I192" s="64">
        <v>45470</v>
      </c>
      <c r="J192" s="55">
        <v>86.39</v>
      </c>
    </row>
    <row r="193" spans="1:10">
      <c r="A193" s="22">
        <v>45482</v>
      </c>
      <c r="B193" s="54">
        <v>5.4386999999999999</v>
      </c>
      <c r="I193" s="64">
        <v>45471</v>
      </c>
      <c r="J193" s="55">
        <v>86.41</v>
      </c>
    </row>
    <row r="194" spans="1:10">
      <c r="A194" s="22">
        <v>45483</v>
      </c>
      <c r="B194" s="54">
        <v>5.3967000000000001</v>
      </c>
      <c r="I194" s="64">
        <v>45474</v>
      </c>
      <c r="J194" s="55">
        <v>86.6</v>
      </c>
    </row>
    <row r="195" spans="1:10">
      <c r="A195" s="22">
        <v>45484</v>
      </c>
      <c r="B195" s="54">
        <v>5.41</v>
      </c>
      <c r="I195" s="64">
        <v>45475</v>
      </c>
      <c r="J195" s="55">
        <v>86.24</v>
      </c>
    </row>
    <row r="196" spans="1:10">
      <c r="A196" s="22">
        <v>45485</v>
      </c>
      <c r="B196" s="54">
        <v>5.4528999999999996</v>
      </c>
      <c r="I196" s="64">
        <v>45476</v>
      </c>
      <c r="J196" s="55">
        <v>87.34</v>
      </c>
    </row>
    <row r="197" spans="1:10">
      <c r="A197" s="22">
        <v>45488</v>
      </c>
      <c r="B197" s="54">
        <v>5.4562999999999997</v>
      </c>
      <c r="I197" s="64">
        <v>45477</v>
      </c>
      <c r="J197" s="55">
        <v>87.43</v>
      </c>
    </row>
    <row r="198" spans="1:10">
      <c r="A198" s="22">
        <v>45489</v>
      </c>
      <c r="B198" s="54">
        <v>5.4273999999999996</v>
      </c>
      <c r="I198" s="64">
        <v>45478</v>
      </c>
      <c r="J198" s="55">
        <v>86.54</v>
      </c>
    </row>
    <row r="199" spans="1:10">
      <c r="A199" s="22">
        <v>45490</v>
      </c>
      <c r="B199" s="54">
        <v>5.4669999999999996</v>
      </c>
      <c r="I199" s="64">
        <v>45481</v>
      </c>
      <c r="J199" s="55">
        <v>85.75</v>
      </c>
    </row>
    <row r="200" spans="1:10">
      <c r="A200" s="22">
        <v>45491</v>
      </c>
      <c r="B200" s="54">
        <v>5.5426000000000002</v>
      </c>
      <c r="I200" s="64">
        <v>45482</v>
      </c>
      <c r="J200" s="55">
        <v>84.66</v>
      </c>
    </row>
    <row r="201" spans="1:10">
      <c r="A201" s="22">
        <v>45492</v>
      </c>
      <c r="B201" s="54">
        <v>5.5542999999999996</v>
      </c>
      <c r="I201" s="64">
        <v>45483</v>
      </c>
      <c r="J201" s="55">
        <v>85.08</v>
      </c>
    </row>
    <row r="202" spans="1:10">
      <c r="A202" s="22">
        <v>45495</v>
      </c>
      <c r="B202" s="54">
        <v>5.5598000000000001</v>
      </c>
      <c r="I202" s="64">
        <v>45484</v>
      </c>
      <c r="J202" s="55">
        <v>85.4</v>
      </c>
    </row>
    <row r="203" spans="1:10">
      <c r="A203" s="22">
        <v>45496</v>
      </c>
      <c r="B203" s="54">
        <v>5.5807000000000002</v>
      </c>
      <c r="I203" s="64">
        <v>45485</v>
      </c>
      <c r="J203" s="55">
        <v>85.03</v>
      </c>
    </row>
    <row r="204" spans="1:10">
      <c r="A204" s="22">
        <v>45497</v>
      </c>
      <c r="B204" s="54">
        <v>5.6345999999999998</v>
      </c>
      <c r="I204" s="64">
        <v>45488</v>
      </c>
      <c r="J204" s="55">
        <v>84.85</v>
      </c>
    </row>
    <row r="205" spans="1:10">
      <c r="A205" s="22">
        <v>45498</v>
      </c>
      <c r="B205" s="54">
        <v>5.6402000000000001</v>
      </c>
      <c r="I205" s="64">
        <v>45489</v>
      </c>
      <c r="J205" s="55">
        <v>83.73</v>
      </c>
    </row>
    <row r="206" spans="1:10">
      <c r="A206" s="22">
        <v>45499</v>
      </c>
      <c r="B206" s="54">
        <v>5.6464999999999996</v>
      </c>
      <c r="I206" s="64">
        <v>45490</v>
      </c>
      <c r="J206" s="55">
        <v>85.08</v>
      </c>
    </row>
    <row r="207" spans="1:10">
      <c r="A207" s="22">
        <v>45502</v>
      </c>
      <c r="B207" s="54">
        <v>5.6478999999999999</v>
      </c>
      <c r="I207" s="64">
        <v>45491</v>
      </c>
      <c r="J207" s="55">
        <v>85.11</v>
      </c>
    </row>
    <row r="208" spans="1:10">
      <c r="A208" s="22">
        <v>45503</v>
      </c>
      <c r="B208" s="54">
        <v>5.6532</v>
      </c>
      <c r="I208" s="64">
        <v>45492</v>
      </c>
      <c r="J208" s="55">
        <v>82.63</v>
      </c>
    </row>
    <row r="209" spans="1:10">
      <c r="A209" s="22">
        <v>45504</v>
      </c>
      <c r="B209" s="54">
        <v>5.6620999999999997</v>
      </c>
      <c r="I209" s="64">
        <v>45495</v>
      </c>
      <c r="J209" s="55">
        <v>82.4</v>
      </c>
    </row>
    <row r="210" spans="1:10">
      <c r="A210" s="22">
        <v>45505</v>
      </c>
      <c r="B210" s="54">
        <v>5.6680999999999999</v>
      </c>
      <c r="I210" s="64">
        <v>45496</v>
      </c>
      <c r="J210" s="55">
        <v>81.010000000000005</v>
      </c>
    </row>
    <row r="211" spans="1:10">
      <c r="A211" s="22">
        <v>45506</v>
      </c>
      <c r="B211" s="54">
        <v>5.7366000000000001</v>
      </c>
      <c r="I211" s="64">
        <v>45497</v>
      </c>
      <c r="J211" s="55">
        <v>81.709999999999994</v>
      </c>
    </row>
    <row r="212" spans="1:10">
      <c r="A212" s="22">
        <v>45509</v>
      </c>
      <c r="B212" s="54">
        <v>5.7645999999999997</v>
      </c>
      <c r="I212" s="64">
        <v>45498</v>
      </c>
      <c r="J212" s="55">
        <v>82.37</v>
      </c>
    </row>
    <row r="213" spans="1:10">
      <c r="A213" s="22">
        <v>45510</v>
      </c>
      <c r="B213" s="54">
        <v>5.6528</v>
      </c>
      <c r="I213" s="64">
        <v>45499</v>
      </c>
      <c r="J213" s="55">
        <v>81.13</v>
      </c>
    </row>
    <row r="214" spans="1:10">
      <c r="A214" s="22">
        <v>45511</v>
      </c>
      <c r="B214" s="54">
        <v>5.6093000000000002</v>
      </c>
      <c r="I214" s="64">
        <v>45502</v>
      </c>
      <c r="J214" s="55">
        <v>79.78</v>
      </c>
    </row>
    <row r="215" spans="1:10">
      <c r="A215" s="22">
        <v>45512</v>
      </c>
      <c r="B215" s="54">
        <v>5.6172000000000004</v>
      </c>
      <c r="I215" s="64">
        <v>45503</v>
      </c>
      <c r="J215" s="55">
        <v>78.63</v>
      </c>
    </row>
    <row r="216" spans="1:10">
      <c r="A216" s="22">
        <v>45513</v>
      </c>
      <c r="B216" s="54">
        <v>5.5114999999999998</v>
      </c>
      <c r="I216" s="64">
        <v>45504</v>
      </c>
      <c r="J216" s="55">
        <v>80.72</v>
      </c>
    </row>
    <row r="217" spans="1:10">
      <c r="A217" s="22">
        <v>45516</v>
      </c>
      <c r="B217" s="54">
        <v>5.4911000000000003</v>
      </c>
      <c r="I217" s="64">
        <v>45505</v>
      </c>
      <c r="J217" s="55">
        <v>79.52</v>
      </c>
    </row>
    <row r="218" spans="1:10">
      <c r="A218" s="22">
        <v>45517</v>
      </c>
      <c r="B218" s="54">
        <v>5.4874999999999998</v>
      </c>
      <c r="I218" s="64">
        <v>45506</v>
      </c>
      <c r="J218" s="55">
        <v>76.81</v>
      </c>
    </row>
    <row r="219" spans="1:10">
      <c r="A219" s="22">
        <v>45518</v>
      </c>
      <c r="B219" s="54">
        <v>5.4501999999999997</v>
      </c>
      <c r="I219" s="64">
        <v>45509</v>
      </c>
      <c r="J219" s="55">
        <v>76.3</v>
      </c>
    </row>
    <row r="220" spans="1:10">
      <c r="A220" s="22">
        <v>45519</v>
      </c>
      <c r="B220" s="54">
        <v>5.4650999999999996</v>
      </c>
      <c r="I220" s="64">
        <v>45510</v>
      </c>
      <c r="J220" s="55">
        <v>76.48</v>
      </c>
    </row>
    <row r="221" spans="1:10">
      <c r="A221" s="22">
        <v>45520</v>
      </c>
      <c r="B221" s="54">
        <v>5.4631999999999996</v>
      </c>
      <c r="I221" s="64">
        <v>45511</v>
      </c>
      <c r="J221" s="55">
        <v>78.33</v>
      </c>
    </row>
    <row r="222" spans="1:10">
      <c r="A222" s="22">
        <v>45523</v>
      </c>
      <c r="B222" s="54">
        <v>5.4237000000000002</v>
      </c>
      <c r="I222" s="64">
        <v>45512</v>
      </c>
      <c r="J222" s="55">
        <v>79.16</v>
      </c>
    </row>
    <row r="223" spans="1:10">
      <c r="A223" s="22">
        <v>45524</v>
      </c>
      <c r="B223" s="54">
        <v>5.4546999999999999</v>
      </c>
      <c r="I223" s="64">
        <v>45513</v>
      </c>
      <c r="J223" s="55">
        <v>79.66</v>
      </c>
    </row>
    <row r="224" spans="1:10">
      <c r="A224" s="22">
        <v>45525</v>
      </c>
      <c r="B224" s="54">
        <v>5.4706999999999999</v>
      </c>
      <c r="I224" s="64">
        <v>45516</v>
      </c>
      <c r="J224" s="55">
        <v>82.3</v>
      </c>
    </row>
    <row r="225" spans="1:10">
      <c r="A225" s="22">
        <v>45526</v>
      </c>
      <c r="B225" s="54">
        <v>5.5523999999999996</v>
      </c>
      <c r="I225" s="64">
        <v>45517</v>
      </c>
      <c r="J225" s="55">
        <v>80.69</v>
      </c>
    </row>
    <row r="226" spans="1:10">
      <c r="A226" s="22">
        <v>45527</v>
      </c>
      <c r="B226" s="54">
        <v>5.5263</v>
      </c>
      <c r="I226" s="64">
        <v>45518</v>
      </c>
      <c r="J226" s="55">
        <v>79.760000000000005</v>
      </c>
    </row>
    <row r="227" spans="1:10">
      <c r="A227" s="22">
        <v>45530</v>
      </c>
      <c r="B227" s="54">
        <v>5.4920999999999998</v>
      </c>
      <c r="I227" s="64">
        <v>45519</v>
      </c>
      <c r="J227" s="55">
        <v>81.040000000000006</v>
      </c>
    </row>
    <row r="228" spans="1:10">
      <c r="A228" s="22">
        <v>45531</v>
      </c>
      <c r="B228" s="54">
        <v>5.4969000000000001</v>
      </c>
      <c r="I228" s="64">
        <v>45520</v>
      </c>
      <c r="J228" s="55">
        <v>79.680000000000007</v>
      </c>
    </row>
    <row r="229" spans="1:10">
      <c r="A229" s="22">
        <v>45532</v>
      </c>
      <c r="B229" s="54">
        <v>5.5315000000000003</v>
      </c>
      <c r="I229" s="64">
        <v>45523</v>
      </c>
      <c r="J229" s="55">
        <v>77.66</v>
      </c>
    </row>
    <row r="230" spans="1:10">
      <c r="A230" s="22">
        <v>45533</v>
      </c>
      <c r="B230" s="54">
        <v>5.6357999999999997</v>
      </c>
      <c r="I230" s="64">
        <v>45524</v>
      </c>
      <c r="J230" s="55">
        <v>77.2</v>
      </c>
    </row>
    <row r="231" spans="1:10">
      <c r="A231" s="22">
        <v>45534</v>
      </c>
      <c r="B231" s="54">
        <v>5.6562000000000001</v>
      </c>
      <c r="I231" s="64">
        <v>45525</v>
      </c>
      <c r="J231" s="55">
        <v>76.05</v>
      </c>
    </row>
    <row r="232" spans="1:10">
      <c r="A232" s="22">
        <v>45537</v>
      </c>
      <c r="B232" s="54">
        <v>5.6230000000000002</v>
      </c>
      <c r="I232" s="64">
        <v>45526</v>
      </c>
      <c r="J232" s="55">
        <v>77.22</v>
      </c>
    </row>
    <row r="233" spans="1:10">
      <c r="A233" s="22">
        <v>45538</v>
      </c>
      <c r="B233" s="54">
        <v>5.6223999999999998</v>
      </c>
      <c r="I233" s="64">
        <v>45527</v>
      </c>
      <c r="J233" s="55">
        <v>79.02</v>
      </c>
    </row>
    <row r="234" spans="1:10">
      <c r="A234" s="22">
        <v>45539</v>
      </c>
      <c r="B234" s="54">
        <v>5.6359000000000004</v>
      </c>
      <c r="I234" s="64">
        <v>45530</v>
      </c>
      <c r="J234" s="55">
        <v>81.430000000000007</v>
      </c>
    </row>
    <row r="235" spans="1:10">
      <c r="A235" s="22">
        <v>45540</v>
      </c>
      <c r="B235" s="54">
        <v>5.6048999999999998</v>
      </c>
      <c r="I235" s="64">
        <v>45531</v>
      </c>
      <c r="J235" s="55">
        <v>79.55</v>
      </c>
    </row>
    <row r="236" spans="1:10">
      <c r="A236" s="22">
        <v>45541</v>
      </c>
      <c r="B236" s="54">
        <v>5.5701999999999998</v>
      </c>
      <c r="I236" s="64">
        <v>45532</v>
      </c>
      <c r="J236" s="55">
        <v>78.650000000000006</v>
      </c>
    </row>
    <row r="237" spans="1:10">
      <c r="A237" s="22">
        <v>45544</v>
      </c>
      <c r="B237" s="54">
        <v>5.6097000000000001</v>
      </c>
      <c r="I237" s="64">
        <v>45533</v>
      </c>
      <c r="J237" s="55">
        <v>79.94</v>
      </c>
    </row>
    <row r="238" spans="1:10">
      <c r="A238" s="22">
        <v>45545</v>
      </c>
      <c r="B238" s="54">
        <v>5.6254</v>
      </c>
      <c r="I238" s="64">
        <v>45534</v>
      </c>
      <c r="J238" s="55">
        <v>78.8</v>
      </c>
    </row>
    <row r="239" spans="1:10">
      <c r="A239" s="22">
        <v>45546</v>
      </c>
      <c r="B239" s="54">
        <v>5.6387</v>
      </c>
      <c r="I239" s="64">
        <v>45537</v>
      </c>
      <c r="J239" s="55">
        <v>77.52</v>
      </c>
    </row>
    <row r="240" spans="1:10">
      <c r="A240" s="22">
        <v>45547</v>
      </c>
      <c r="B240" s="54">
        <v>5.6554000000000002</v>
      </c>
      <c r="I240" s="64">
        <v>45538</v>
      </c>
      <c r="J240" s="55">
        <v>73.75</v>
      </c>
    </row>
    <row r="241" spans="1:10">
      <c r="A241" s="22">
        <v>45548</v>
      </c>
      <c r="B241" s="54">
        <v>5.5716999999999999</v>
      </c>
      <c r="I241" s="64">
        <v>45539</v>
      </c>
      <c r="J241" s="55">
        <v>72.7</v>
      </c>
    </row>
    <row r="242" spans="1:10">
      <c r="A242" s="22">
        <v>45551</v>
      </c>
      <c r="B242" s="54">
        <v>5.5206999999999997</v>
      </c>
      <c r="I242" s="64">
        <v>45540</v>
      </c>
      <c r="J242" s="55">
        <v>72.69</v>
      </c>
    </row>
    <row r="243" spans="1:10">
      <c r="A243" s="22">
        <v>45552</v>
      </c>
      <c r="B243" s="54">
        <v>5.5010000000000003</v>
      </c>
      <c r="I243" s="64">
        <v>45541</v>
      </c>
      <c r="J243" s="55">
        <v>71.06</v>
      </c>
    </row>
    <row r="244" spans="1:10">
      <c r="A244" s="22">
        <v>45553</v>
      </c>
      <c r="B244" s="54">
        <v>5.4767000000000001</v>
      </c>
      <c r="I244" s="64">
        <v>45544</v>
      </c>
      <c r="J244" s="55">
        <v>71.84</v>
      </c>
    </row>
    <row r="245" spans="1:10">
      <c r="A245" s="22">
        <v>45554</v>
      </c>
      <c r="B245" s="54">
        <v>5.4188999999999998</v>
      </c>
      <c r="I245" s="64">
        <v>45545</v>
      </c>
      <c r="J245" s="55">
        <v>69.19</v>
      </c>
    </row>
    <row r="246" spans="1:10">
      <c r="A246" s="22">
        <v>45555</v>
      </c>
      <c r="B246" s="54">
        <v>5.4775</v>
      </c>
      <c r="I246" s="64">
        <v>45546</v>
      </c>
      <c r="J246" s="55">
        <v>70.61</v>
      </c>
    </row>
    <row r="247" spans="1:10">
      <c r="A247" s="22">
        <v>45558</v>
      </c>
      <c r="B247" s="54">
        <v>5.5446</v>
      </c>
      <c r="I247" s="64">
        <v>45547</v>
      </c>
      <c r="J247" s="55">
        <v>71.97</v>
      </c>
    </row>
    <row r="248" spans="1:10">
      <c r="A248" s="22">
        <v>45559</v>
      </c>
      <c r="B248" s="54">
        <v>5.4702000000000002</v>
      </c>
      <c r="I248" s="64">
        <v>45548</v>
      </c>
      <c r="J248" s="55">
        <v>71.61</v>
      </c>
    </row>
    <row r="249" spans="1:10">
      <c r="A249" s="22">
        <v>45560</v>
      </c>
      <c r="B249" s="54">
        <v>5.4736000000000002</v>
      </c>
      <c r="I249" s="64">
        <v>45551</v>
      </c>
      <c r="J249" s="55">
        <v>72.75</v>
      </c>
    </row>
    <row r="250" spans="1:10">
      <c r="A250" s="22">
        <v>45561</v>
      </c>
      <c r="B250" s="54">
        <v>5.4412000000000003</v>
      </c>
      <c r="I250" s="64">
        <v>45552</v>
      </c>
      <c r="J250" s="55">
        <v>73.7</v>
      </c>
    </row>
    <row r="251" spans="1:10">
      <c r="A251" s="22">
        <v>45562</v>
      </c>
      <c r="B251" s="54">
        <v>5.4431000000000003</v>
      </c>
      <c r="I251" s="64">
        <v>45553</v>
      </c>
      <c r="J251" s="55">
        <v>73.650000000000006</v>
      </c>
    </row>
    <row r="252" spans="1:10">
      <c r="A252" s="22">
        <v>45565</v>
      </c>
      <c r="B252" s="54">
        <v>5.4481000000000002</v>
      </c>
      <c r="I252" s="64">
        <v>45554</v>
      </c>
      <c r="J252" s="55">
        <v>74.88</v>
      </c>
    </row>
    <row r="253" spans="1:10">
      <c r="A253" s="22">
        <v>45566</v>
      </c>
      <c r="B253" s="54">
        <v>5.4520999999999997</v>
      </c>
      <c r="I253" s="64">
        <v>45555</v>
      </c>
      <c r="J253" s="55">
        <v>74.489999999999995</v>
      </c>
    </row>
    <row r="254" spans="1:10">
      <c r="A254" s="22">
        <v>45567</v>
      </c>
      <c r="B254" s="54">
        <v>5.4305000000000003</v>
      </c>
      <c r="I254" s="64">
        <v>45558</v>
      </c>
      <c r="J254" s="55">
        <v>73.900000000000006</v>
      </c>
    </row>
    <row r="255" spans="1:10">
      <c r="A255" s="22">
        <v>45568</v>
      </c>
      <c r="B255" s="54">
        <v>5.4850000000000003</v>
      </c>
      <c r="I255" s="64">
        <v>45559</v>
      </c>
      <c r="J255" s="55">
        <v>75.17</v>
      </c>
    </row>
    <row r="256" spans="1:10">
      <c r="A256" s="22">
        <v>45569</v>
      </c>
      <c r="B256" s="54">
        <v>5.4686000000000003</v>
      </c>
      <c r="I256" s="64">
        <v>45560</v>
      </c>
      <c r="J256" s="55">
        <v>73.459999999999994</v>
      </c>
    </row>
    <row r="257" spans="1:10">
      <c r="A257" s="22">
        <v>45572</v>
      </c>
      <c r="B257" s="54">
        <v>5.4626000000000001</v>
      </c>
      <c r="I257" s="64">
        <v>45561</v>
      </c>
      <c r="J257" s="55">
        <v>71.599999999999994</v>
      </c>
    </row>
    <row r="258" spans="1:10">
      <c r="A258" s="22">
        <v>45573</v>
      </c>
      <c r="B258" s="54">
        <v>5.5197000000000003</v>
      </c>
      <c r="I258" s="64">
        <v>45562</v>
      </c>
      <c r="J258" s="55">
        <v>71.98</v>
      </c>
    </row>
    <row r="259" spans="1:10">
      <c r="A259" s="22">
        <v>45574</v>
      </c>
      <c r="B259" s="54">
        <v>5.5736999999999997</v>
      </c>
      <c r="I259" s="64">
        <v>45565</v>
      </c>
      <c r="J259" s="55">
        <v>71.77</v>
      </c>
    </row>
    <row r="260" spans="1:10">
      <c r="A260" s="22">
        <v>45575</v>
      </c>
      <c r="B260" s="54">
        <v>5.5819000000000001</v>
      </c>
      <c r="I260" s="64">
        <v>45566</v>
      </c>
      <c r="J260" s="55">
        <v>73.56</v>
      </c>
    </row>
    <row r="261" spans="1:10">
      <c r="A261" s="22">
        <v>45576</v>
      </c>
      <c r="B261" s="54">
        <v>5.6262999999999996</v>
      </c>
      <c r="I261" s="64">
        <v>45567</v>
      </c>
      <c r="J261" s="55">
        <v>73.900000000000006</v>
      </c>
    </row>
    <row r="262" spans="1:10">
      <c r="A262" s="22">
        <v>45579</v>
      </c>
      <c r="B262" s="54">
        <v>5.6044999999999998</v>
      </c>
      <c r="I262" s="64">
        <v>45568</v>
      </c>
      <c r="J262" s="55">
        <v>77.62</v>
      </c>
    </row>
    <row r="263" spans="1:10">
      <c r="A263" s="22">
        <v>45580</v>
      </c>
      <c r="B263" s="54">
        <v>5.6378000000000004</v>
      </c>
      <c r="I263" s="64">
        <v>45569</v>
      </c>
      <c r="J263" s="55">
        <v>78.05</v>
      </c>
    </row>
    <row r="264" spans="1:10">
      <c r="A264" s="22">
        <v>45581</v>
      </c>
      <c r="B264" s="54">
        <v>5.6749000000000001</v>
      </c>
      <c r="I264" s="64">
        <v>45572</v>
      </c>
      <c r="J264" s="55">
        <v>80.930000000000007</v>
      </c>
    </row>
    <row r="265" spans="1:10">
      <c r="A265" s="22">
        <v>45582</v>
      </c>
      <c r="B265" s="54">
        <v>5.6757999999999997</v>
      </c>
      <c r="I265" s="64">
        <v>45573</v>
      </c>
      <c r="J265" s="55">
        <v>77.180000000000007</v>
      </c>
    </row>
    <row r="266" spans="1:10">
      <c r="A266" s="22">
        <v>45583</v>
      </c>
      <c r="B266" s="54">
        <v>5.6672000000000002</v>
      </c>
      <c r="I266" s="64">
        <v>45574</v>
      </c>
      <c r="J266" s="55">
        <v>76.58</v>
      </c>
    </row>
    <row r="267" spans="1:10">
      <c r="A267" s="22">
        <v>45586</v>
      </c>
      <c r="B267" s="54">
        <v>5.7068000000000003</v>
      </c>
      <c r="I267" s="64">
        <v>45575</v>
      </c>
      <c r="J267" s="55">
        <v>79.400000000000006</v>
      </c>
    </row>
    <row r="268" spans="1:10">
      <c r="A268" s="22">
        <v>45587</v>
      </c>
      <c r="B268" s="54">
        <v>5.6958000000000002</v>
      </c>
      <c r="I268" s="64">
        <v>45576</v>
      </c>
      <c r="J268" s="55">
        <v>79.040000000000006</v>
      </c>
    </row>
    <row r="269" spans="1:10">
      <c r="A269" s="22">
        <v>45588</v>
      </c>
      <c r="B269" s="54">
        <v>5.7149000000000001</v>
      </c>
      <c r="I269" s="64">
        <v>45579</v>
      </c>
      <c r="J269" s="55">
        <v>77.459999999999994</v>
      </c>
    </row>
    <row r="270" spans="1:10">
      <c r="A270" s="22">
        <v>45589</v>
      </c>
      <c r="B270" s="54">
        <v>5.7087000000000003</v>
      </c>
      <c r="I270" s="64">
        <v>45580</v>
      </c>
      <c r="J270" s="55">
        <v>74.25</v>
      </c>
    </row>
    <row r="271" spans="1:10">
      <c r="A271" s="22">
        <v>45590</v>
      </c>
      <c r="B271" s="54">
        <v>5.6969000000000003</v>
      </c>
      <c r="I271" s="64">
        <v>45581</v>
      </c>
      <c r="J271" s="55">
        <v>74.22</v>
      </c>
    </row>
    <row r="272" spans="1:10">
      <c r="A272" s="22">
        <v>45593</v>
      </c>
      <c r="B272" s="54">
        <v>5.6988000000000003</v>
      </c>
      <c r="I272" s="64">
        <v>45582</v>
      </c>
      <c r="J272" s="55">
        <v>74.45</v>
      </c>
    </row>
    <row r="273" spans="1:10">
      <c r="A273" s="22">
        <v>45594</v>
      </c>
      <c r="B273" s="54">
        <v>5.7140000000000004</v>
      </c>
      <c r="I273" s="64">
        <v>45583</v>
      </c>
      <c r="J273" s="55">
        <v>73.06</v>
      </c>
    </row>
    <row r="274" spans="1:10">
      <c r="A274" s="22">
        <v>45595</v>
      </c>
      <c r="B274" s="54">
        <v>5.7801</v>
      </c>
      <c r="I274" s="64">
        <v>45586</v>
      </c>
      <c r="J274" s="55">
        <v>74.290000000000006</v>
      </c>
    </row>
    <row r="275" spans="1:10">
      <c r="A275" s="22">
        <v>45596</v>
      </c>
      <c r="B275" s="54">
        <v>5.7778999999999998</v>
      </c>
      <c r="I275" s="64">
        <v>45587</v>
      </c>
      <c r="J275" s="55">
        <v>76.040000000000006</v>
      </c>
    </row>
    <row r="276" spans="1:10">
      <c r="A276" s="22">
        <v>45597</v>
      </c>
      <c r="B276" s="54">
        <v>5.8072999999999997</v>
      </c>
      <c r="I276" s="64">
        <v>45588</v>
      </c>
      <c r="J276" s="55">
        <v>74.959999999999994</v>
      </c>
    </row>
    <row r="277" spans="1:10">
      <c r="A277" s="22">
        <v>45600</v>
      </c>
      <c r="B277" s="54">
        <v>5.7897999999999996</v>
      </c>
      <c r="I277" s="64">
        <v>45589</v>
      </c>
      <c r="J277" s="55">
        <v>74.38</v>
      </c>
    </row>
    <row r="278" spans="1:10">
      <c r="A278" s="22">
        <v>45601</v>
      </c>
      <c r="B278" s="54">
        <v>5.7846000000000002</v>
      </c>
      <c r="I278" s="64">
        <v>45590</v>
      </c>
      <c r="J278" s="55">
        <v>76.05</v>
      </c>
    </row>
    <row r="279" spans="1:10">
      <c r="A279" s="22">
        <v>45602</v>
      </c>
      <c r="B279" s="54">
        <v>5.7648000000000001</v>
      </c>
      <c r="I279" s="64">
        <v>45593</v>
      </c>
      <c r="J279" s="55">
        <v>71.42</v>
      </c>
    </row>
    <row r="280" spans="1:10">
      <c r="A280" s="22">
        <v>45603</v>
      </c>
      <c r="B280" s="54">
        <v>5.6623999999999999</v>
      </c>
      <c r="I280" s="64">
        <v>45594</v>
      </c>
      <c r="J280" s="55">
        <v>71.12</v>
      </c>
    </row>
    <row r="281" spans="1:10">
      <c r="A281" s="22">
        <v>45604</v>
      </c>
      <c r="B281" s="54">
        <v>5.7648000000000001</v>
      </c>
      <c r="I281" s="64">
        <v>45595</v>
      </c>
      <c r="J281" s="55">
        <v>72.55</v>
      </c>
    </row>
    <row r="282" spans="1:10">
      <c r="A282" s="22">
        <v>45607</v>
      </c>
      <c r="B282" s="54">
        <v>5.798</v>
      </c>
      <c r="I282" s="64">
        <v>45596</v>
      </c>
      <c r="J282" s="55">
        <v>73.16</v>
      </c>
    </row>
    <row r="283" spans="1:10">
      <c r="A283" s="22">
        <v>45608</v>
      </c>
      <c r="B283" s="54">
        <v>5.7694000000000001</v>
      </c>
      <c r="I283" s="64">
        <v>45597</v>
      </c>
      <c r="J283" s="55">
        <v>73.099999999999994</v>
      </c>
    </row>
    <row r="284" spans="1:10">
      <c r="A284" s="22">
        <v>45609</v>
      </c>
      <c r="B284" s="54">
        <v>5.7713000000000001</v>
      </c>
      <c r="I284" s="64">
        <v>45600</v>
      </c>
      <c r="J284" s="55">
        <v>75.08</v>
      </c>
    </row>
    <row r="285" spans="1:10">
      <c r="A285" s="22">
        <v>45610</v>
      </c>
      <c r="B285" s="54">
        <v>5.7885</v>
      </c>
      <c r="I285" s="64">
        <v>45601</v>
      </c>
      <c r="J285" s="55">
        <v>75.53</v>
      </c>
    </row>
    <row r="286" spans="1:10">
      <c r="A286" s="22">
        <v>45614</v>
      </c>
      <c r="B286" s="54">
        <v>5.7603</v>
      </c>
      <c r="I286" s="64">
        <v>45602</v>
      </c>
      <c r="J286" s="55">
        <v>74.92</v>
      </c>
    </row>
    <row r="287" spans="1:10">
      <c r="A287" s="22">
        <v>45615</v>
      </c>
      <c r="B287" s="54">
        <v>5.7743000000000002</v>
      </c>
      <c r="I287" s="64">
        <v>45603</v>
      </c>
      <c r="J287" s="55">
        <v>75.63</v>
      </c>
    </row>
    <row r="288" spans="1:10">
      <c r="A288" s="22">
        <v>45617</v>
      </c>
      <c r="B288" s="54">
        <v>5.8173000000000004</v>
      </c>
      <c r="I288" s="64">
        <v>45604</v>
      </c>
      <c r="J288" s="55">
        <v>73.87</v>
      </c>
    </row>
    <row r="289" spans="1:10">
      <c r="A289" s="22">
        <v>45618</v>
      </c>
      <c r="B289" s="54">
        <v>5.8124000000000002</v>
      </c>
      <c r="I289" s="64">
        <v>45607</v>
      </c>
      <c r="J289" s="55">
        <v>71.83</v>
      </c>
    </row>
    <row r="290" spans="1:10">
      <c r="A290" s="22">
        <v>45621</v>
      </c>
      <c r="B290" s="54">
        <v>5.8002000000000002</v>
      </c>
      <c r="I290" s="64">
        <v>45608</v>
      </c>
      <c r="J290" s="55">
        <v>71.89</v>
      </c>
    </row>
    <row r="291" spans="1:10">
      <c r="A291" s="22">
        <v>45622</v>
      </c>
      <c r="B291" s="54">
        <v>5.7990000000000004</v>
      </c>
      <c r="I291" s="64">
        <v>45609</v>
      </c>
      <c r="J291" s="55">
        <v>72.28</v>
      </c>
    </row>
    <row r="292" spans="1:10">
      <c r="A292" s="22">
        <v>45623</v>
      </c>
      <c r="B292" s="54">
        <v>5.8291000000000004</v>
      </c>
      <c r="I292" s="64">
        <v>45610</v>
      </c>
      <c r="J292" s="55">
        <v>72.56</v>
      </c>
    </row>
    <row r="293" spans="1:10">
      <c r="A293" s="22">
        <v>45624</v>
      </c>
      <c r="B293" s="54">
        <v>5.9870999999999999</v>
      </c>
      <c r="I293" s="64">
        <v>45611</v>
      </c>
      <c r="J293" s="55">
        <v>71.040000000000006</v>
      </c>
    </row>
    <row r="294" spans="1:10">
      <c r="A294" s="22">
        <v>45625</v>
      </c>
      <c r="B294" s="54">
        <v>6.0534999999999997</v>
      </c>
      <c r="I294" s="64">
        <v>45614</v>
      </c>
      <c r="J294" s="55">
        <v>73.3</v>
      </c>
    </row>
    <row r="295" spans="1:10">
      <c r="A295" s="22">
        <v>45628</v>
      </c>
      <c r="B295" s="54">
        <v>6.0633999999999997</v>
      </c>
      <c r="I295" s="64">
        <v>45615</v>
      </c>
      <c r="J295" s="55">
        <v>73.31</v>
      </c>
    </row>
    <row r="296" spans="1:10">
      <c r="A296" s="22">
        <v>45629</v>
      </c>
      <c r="B296" s="54">
        <v>6.0707000000000004</v>
      </c>
      <c r="I296" s="64">
        <v>45616</v>
      </c>
      <c r="J296" s="55">
        <v>72.81</v>
      </c>
    </row>
    <row r="297" spans="1:10">
      <c r="A297" s="22">
        <v>45630</v>
      </c>
      <c r="B297" s="54">
        <v>6.0580999999999996</v>
      </c>
      <c r="I297" s="64">
        <v>45617</v>
      </c>
      <c r="J297" s="55">
        <v>74.23</v>
      </c>
    </row>
    <row r="298" spans="1:10">
      <c r="A298" s="22">
        <v>45631</v>
      </c>
      <c r="B298" s="54">
        <v>5.9848999999999997</v>
      </c>
      <c r="I298" s="64">
        <v>45618</v>
      </c>
      <c r="J298" s="55">
        <v>75.17</v>
      </c>
    </row>
    <row r="299" spans="1:10">
      <c r="A299" s="22">
        <v>45632</v>
      </c>
      <c r="B299" s="54">
        <v>6.0293000000000001</v>
      </c>
      <c r="I299" s="64">
        <v>45621</v>
      </c>
      <c r="J299" s="55">
        <v>73.010000000000005</v>
      </c>
    </row>
    <row r="300" spans="1:10">
      <c r="A300" s="22">
        <v>45635</v>
      </c>
      <c r="B300" s="54">
        <v>6.0570000000000004</v>
      </c>
      <c r="I300" s="64">
        <v>45622</v>
      </c>
      <c r="J300" s="55">
        <v>72.81</v>
      </c>
    </row>
    <row r="301" spans="1:10">
      <c r="A301" s="22">
        <v>45636</v>
      </c>
      <c r="B301" s="54">
        <v>6.0529000000000002</v>
      </c>
      <c r="I301" s="64">
        <v>45623</v>
      </c>
      <c r="J301" s="55">
        <v>72.83</v>
      </c>
    </row>
    <row r="302" spans="1:10">
      <c r="A302" s="22">
        <v>45637</v>
      </c>
      <c r="B302" s="54">
        <v>6.032</v>
      </c>
      <c r="I302" s="64">
        <v>45624</v>
      </c>
      <c r="J302" s="55">
        <v>73.28</v>
      </c>
    </row>
    <row r="303" spans="1:10">
      <c r="A303" s="22">
        <v>45638</v>
      </c>
      <c r="B303" s="54">
        <v>5.9408000000000003</v>
      </c>
      <c r="I303" s="64">
        <v>45625</v>
      </c>
      <c r="J303" s="55">
        <v>72.94</v>
      </c>
    </row>
    <row r="304" spans="1:10">
      <c r="A304" s="22">
        <v>45639</v>
      </c>
      <c r="B304" s="54">
        <v>6.04</v>
      </c>
      <c r="I304" s="64">
        <v>45628</v>
      </c>
      <c r="J304" s="55">
        <v>71.83</v>
      </c>
    </row>
    <row r="305" spans="1:10">
      <c r="A305" s="22">
        <v>45642</v>
      </c>
      <c r="B305" s="54">
        <v>6.0509000000000004</v>
      </c>
      <c r="I305" s="64">
        <v>45629</v>
      </c>
      <c r="J305" s="55">
        <v>73.62</v>
      </c>
    </row>
    <row r="306" spans="1:10">
      <c r="A306" s="22">
        <v>45643</v>
      </c>
      <c r="B306" s="54">
        <v>6.1684999999999999</v>
      </c>
      <c r="I306" s="64">
        <v>45630</v>
      </c>
      <c r="J306" s="55">
        <v>72.31</v>
      </c>
    </row>
    <row r="307" spans="1:10">
      <c r="A307" s="22">
        <v>45644</v>
      </c>
      <c r="B307" s="54">
        <v>6.1623999999999999</v>
      </c>
      <c r="I307" s="64">
        <v>45631</v>
      </c>
      <c r="J307" s="55">
        <v>72.09</v>
      </c>
    </row>
    <row r="308" spans="1:10">
      <c r="A308" s="22">
        <v>45645</v>
      </c>
      <c r="B308" s="54">
        <v>6.1840999999999999</v>
      </c>
      <c r="I308" s="64">
        <v>45632</v>
      </c>
      <c r="J308" s="55">
        <v>71.12</v>
      </c>
    </row>
    <row r="309" spans="1:10">
      <c r="A309" s="22">
        <v>45646</v>
      </c>
      <c r="B309" s="54">
        <v>6.0780000000000003</v>
      </c>
      <c r="I309" s="64">
        <v>45635</v>
      </c>
      <c r="J309" s="55">
        <v>72.14</v>
      </c>
    </row>
    <row r="310" spans="1:10">
      <c r="A310" s="22">
        <v>45649</v>
      </c>
      <c r="B310" s="54">
        <v>6.1612</v>
      </c>
      <c r="I310" s="64">
        <v>45636</v>
      </c>
      <c r="J310" s="55">
        <v>72.19</v>
      </c>
    </row>
    <row r="311" spans="1:10">
      <c r="A311" s="22">
        <v>45650</v>
      </c>
      <c r="B311" s="54">
        <v>6.1540999999999997</v>
      </c>
      <c r="I311" s="64">
        <v>45637</v>
      </c>
      <c r="J311" s="55">
        <v>73.52</v>
      </c>
    </row>
    <row r="312" spans="1:10">
      <c r="A312" s="22">
        <v>45652</v>
      </c>
      <c r="B312" s="54">
        <v>6.1656000000000004</v>
      </c>
      <c r="I312" s="64">
        <v>45638</v>
      </c>
      <c r="J312" s="55">
        <v>73.41</v>
      </c>
    </row>
    <row r="313" spans="1:10">
      <c r="A313" s="22">
        <v>45653</v>
      </c>
      <c r="B313" s="54">
        <v>6.1990999999999996</v>
      </c>
      <c r="I313" s="64">
        <v>45639</v>
      </c>
      <c r="J313" s="55">
        <v>74.489999999999995</v>
      </c>
    </row>
    <row r="314" spans="1:10">
      <c r="A314" s="22">
        <v>45656</v>
      </c>
      <c r="B314" s="54">
        <v>6.1923000000000004</v>
      </c>
      <c r="I314" s="64">
        <v>45642</v>
      </c>
      <c r="J314" s="55">
        <v>73.91</v>
      </c>
    </row>
    <row r="315" spans="1:10">
      <c r="A315" s="22">
        <v>45657</v>
      </c>
      <c r="B315" s="54">
        <v>6.1923000000000004</v>
      </c>
      <c r="I315" s="64">
        <v>45643</v>
      </c>
      <c r="J315" s="55">
        <v>73.19</v>
      </c>
    </row>
    <row r="316" spans="1:10">
      <c r="A316" s="22">
        <v>45659</v>
      </c>
      <c r="B316" s="54">
        <v>6.2085999999999997</v>
      </c>
      <c r="I316" s="64">
        <v>45644</v>
      </c>
      <c r="J316" s="55">
        <v>73.39</v>
      </c>
    </row>
    <row r="317" spans="1:10">
      <c r="A317" s="22">
        <v>45660</v>
      </c>
      <c r="B317" s="54">
        <v>6.1562999999999999</v>
      </c>
      <c r="I317" s="64">
        <v>45645</v>
      </c>
      <c r="J317" s="55">
        <v>72.88</v>
      </c>
    </row>
    <row r="318" spans="1:10">
      <c r="A318" s="22">
        <v>45663</v>
      </c>
      <c r="B318" s="54">
        <v>6.1119000000000003</v>
      </c>
      <c r="I318" s="64">
        <v>45646</v>
      </c>
      <c r="J318" s="55">
        <v>72.94</v>
      </c>
    </row>
    <row r="319" spans="1:10">
      <c r="A319" s="22">
        <v>45664</v>
      </c>
      <c r="B319" s="54">
        <v>6.0740999999999996</v>
      </c>
      <c r="I319" s="64">
        <v>45649</v>
      </c>
      <c r="J319" s="55">
        <v>72.63</v>
      </c>
    </row>
    <row r="320" spans="1:10">
      <c r="A320" s="22">
        <v>45665</v>
      </c>
      <c r="B320" s="54">
        <v>6.1321000000000003</v>
      </c>
      <c r="I320" s="64">
        <v>45650</v>
      </c>
      <c r="J320" s="55">
        <v>73.58</v>
      </c>
    </row>
    <row r="321" spans="1:10">
      <c r="A321" s="22">
        <v>45666</v>
      </c>
      <c r="B321" s="54">
        <v>6.0895999999999999</v>
      </c>
      <c r="I321" s="64">
        <v>45652</v>
      </c>
      <c r="J321" s="55">
        <v>73.260000000000005</v>
      </c>
    </row>
    <row r="322" spans="1:10">
      <c r="A322" s="22">
        <v>45667</v>
      </c>
      <c r="B322" s="54">
        <v>6.0964999999999998</v>
      </c>
      <c r="I322" s="64">
        <v>45653</v>
      </c>
      <c r="J322" s="55">
        <v>74.17</v>
      </c>
    </row>
    <row r="323" spans="1:10">
      <c r="A323" s="22">
        <v>45670</v>
      </c>
      <c r="B323" s="54">
        <v>6.1078999999999999</v>
      </c>
      <c r="I323" s="64">
        <v>45656</v>
      </c>
      <c r="J323" s="55">
        <v>74.39</v>
      </c>
    </row>
    <row r="324" spans="1:10">
      <c r="A324" s="22">
        <v>45671</v>
      </c>
      <c r="B324" s="54">
        <v>6.0670999999999999</v>
      </c>
      <c r="I324" s="64">
        <v>45657</v>
      </c>
      <c r="J324" s="55">
        <v>74.64</v>
      </c>
    </row>
    <row r="325" spans="1:10">
      <c r="A325" s="22">
        <v>45672</v>
      </c>
      <c r="B325" s="54">
        <v>6.0377000000000001</v>
      </c>
      <c r="I325" s="64">
        <v>45659</v>
      </c>
      <c r="J325" s="55">
        <v>75.930000000000007</v>
      </c>
    </row>
    <row r="326" spans="1:10">
      <c r="A326" s="22">
        <v>45673</v>
      </c>
      <c r="B326" s="54">
        <v>6.0321999999999996</v>
      </c>
      <c r="I326" s="64">
        <v>45660</v>
      </c>
      <c r="J326" s="55">
        <v>76.510000000000005</v>
      </c>
    </row>
    <row r="327" spans="1:10">
      <c r="A327" s="22">
        <v>45674</v>
      </c>
      <c r="B327" s="54">
        <v>6.0609000000000002</v>
      </c>
      <c r="I327" s="64">
        <v>45663</v>
      </c>
      <c r="J327" s="55">
        <v>76.3</v>
      </c>
    </row>
    <row r="328" spans="1:10">
      <c r="A328" s="22">
        <v>45677</v>
      </c>
      <c r="B328" s="54">
        <v>6.0498000000000003</v>
      </c>
      <c r="I328" s="64">
        <v>45664</v>
      </c>
      <c r="J328" s="55">
        <v>77.05</v>
      </c>
    </row>
    <row r="329" spans="1:10">
      <c r="A329" s="22">
        <v>45678</v>
      </c>
      <c r="B329" s="54">
        <v>6.0439999999999996</v>
      </c>
      <c r="I329" s="64">
        <v>45665</v>
      </c>
      <c r="J329" s="55">
        <v>76.16</v>
      </c>
    </row>
    <row r="330" spans="1:10">
      <c r="A330" s="22">
        <v>45679</v>
      </c>
      <c r="B330" s="54">
        <v>5.9673999999999996</v>
      </c>
      <c r="I330" s="64">
        <v>45666</v>
      </c>
      <c r="J330" s="55">
        <v>76.92</v>
      </c>
    </row>
    <row r="331" spans="1:10">
      <c r="A331" s="22">
        <v>45680</v>
      </c>
      <c r="B331" s="54">
        <v>5.9398999999999997</v>
      </c>
      <c r="I331" s="64">
        <v>45667</v>
      </c>
      <c r="J331" s="55">
        <v>79.760000000000005</v>
      </c>
    </row>
    <row r="332" spans="1:10">
      <c r="A332" s="22">
        <v>45681</v>
      </c>
      <c r="B332" s="54">
        <v>5.8925000000000001</v>
      </c>
      <c r="I332" s="64">
        <v>45670</v>
      </c>
      <c r="J332" s="55">
        <v>81.010000000000005</v>
      </c>
    </row>
    <row r="333" spans="1:10">
      <c r="A333" s="22">
        <v>45684</v>
      </c>
      <c r="B333" s="54">
        <v>5.9272</v>
      </c>
      <c r="I333" s="64">
        <v>45671</v>
      </c>
      <c r="J333" s="55">
        <v>79.92</v>
      </c>
    </row>
    <row r="334" spans="1:10">
      <c r="A334" s="22">
        <v>45685</v>
      </c>
      <c r="B334" s="54">
        <v>5.8929999999999998</v>
      </c>
      <c r="I334" s="64">
        <v>45672</v>
      </c>
      <c r="J334" s="55">
        <v>82.03</v>
      </c>
    </row>
    <row r="335" spans="1:10">
      <c r="A335" s="22">
        <v>45686</v>
      </c>
      <c r="B335" s="54">
        <v>5.8596000000000004</v>
      </c>
      <c r="I335" s="64">
        <v>45673</v>
      </c>
      <c r="J335" s="55">
        <v>81.290000000000006</v>
      </c>
    </row>
    <row r="336" spans="1:10">
      <c r="A336" s="22">
        <v>45687</v>
      </c>
      <c r="B336" s="54">
        <v>5.9005999999999998</v>
      </c>
      <c r="I336" s="64">
        <v>45674</v>
      </c>
      <c r="J336" s="55">
        <v>80.790000000000006</v>
      </c>
    </row>
    <row r="337" spans="1:10">
      <c r="A337" s="22">
        <v>45688</v>
      </c>
      <c r="B337" s="54">
        <v>5.8300999999999998</v>
      </c>
      <c r="I337" s="64">
        <v>45677</v>
      </c>
      <c r="J337" s="55">
        <v>80.150000000000006</v>
      </c>
    </row>
    <row r="338" spans="1:10">
      <c r="A338" s="22">
        <v>45691</v>
      </c>
      <c r="B338" s="54">
        <v>5.8686999999999996</v>
      </c>
      <c r="I338" s="64">
        <v>45678</v>
      </c>
      <c r="J338" s="55">
        <v>79.290000000000006</v>
      </c>
    </row>
    <row r="339" spans="1:10">
      <c r="A339" s="22">
        <v>45692</v>
      </c>
      <c r="B339" s="54">
        <v>5.7927</v>
      </c>
      <c r="I339" s="64">
        <v>45679</v>
      </c>
      <c r="J339" s="55">
        <v>79</v>
      </c>
    </row>
    <row r="340" spans="1:10">
      <c r="A340" s="22">
        <v>45693</v>
      </c>
      <c r="B340" s="54">
        <v>5.7996999999999996</v>
      </c>
      <c r="I340" s="64">
        <v>45680</v>
      </c>
      <c r="J340" s="55">
        <v>78.290000000000006</v>
      </c>
    </row>
    <row r="341" spans="1:10">
      <c r="A341" s="22">
        <v>45694</v>
      </c>
      <c r="B341" s="54">
        <v>5.7855999999999996</v>
      </c>
      <c r="I341" s="64">
        <v>45681</v>
      </c>
      <c r="J341" s="55">
        <v>78.5</v>
      </c>
    </row>
    <row r="342" spans="1:10">
      <c r="A342" s="22">
        <v>45695</v>
      </c>
      <c r="B342" s="54">
        <v>5.7557</v>
      </c>
      <c r="I342" s="64">
        <v>45684</v>
      </c>
      <c r="J342" s="55">
        <v>77.08</v>
      </c>
    </row>
    <row r="343" spans="1:10">
      <c r="A343" s="22">
        <v>45698</v>
      </c>
      <c r="B343" s="54">
        <v>5.7808000000000002</v>
      </c>
      <c r="I343" s="64">
        <v>45685</v>
      </c>
      <c r="J343" s="55">
        <v>77.489999999999995</v>
      </c>
    </row>
    <row r="344" spans="1:10">
      <c r="A344" s="22">
        <v>45699</v>
      </c>
      <c r="B344" s="54">
        <v>5.7788000000000004</v>
      </c>
      <c r="I344" s="64">
        <v>45686</v>
      </c>
      <c r="J344" s="55">
        <v>76.58</v>
      </c>
    </row>
    <row r="345" spans="1:10">
      <c r="A345" s="22">
        <v>45700</v>
      </c>
      <c r="B345" s="54">
        <v>5.7710999999999997</v>
      </c>
      <c r="I345" s="64">
        <v>45687</v>
      </c>
      <c r="J345" s="55">
        <v>76.87</v>
      </c>
    </row>
    <row r="346" spans="1:10">
      <c r="A346" s="22">
        <v>45701</v>
      </c>
      <c r="B346" s="54">
        <v>5.7788000000000004</v>
      </c>
      <c r="I346" s="64">
        <v>45688</v>
      </c>
      <c r="J346" s="55">
        <v>76.760000000000005</v>
      </c>
    </row>
    <row r="347" spans="1:10">
      <c r="A347" s="22">
        <v>45702</v>
      </c>
      <c r="B347" s="54">
        <v>5.7282999999999999</v>
      </c>
      <c r="I347" s="64">
        <v>45691</v>
      </c>
      <c r="J347" s="55">
        <v>75.959999999999994</v>
      </c>
    </row>
    <row r="348" spans="1:10">
      <c r="A348" s="22">
        <v>45705</v>
      </c>
      <c r="B348" s="54">
        <v>5.7104999999999997</v>
      </c>
      <c r="I348" s="64">
        <v>45692</v>
      </c>
      <c r="J348" s="55">
        <v>76.2</v>
      </c>
    </row>
    <row r="349" spans="1:10">
      <c r="A349" s="22">
        <v>45706</v>
      </c>
      <c r="B349" s="54">
        <v>5.6978999999999997</v>
      </c>
      <c r="I349" s="64">
        <v>45693</v>
      </c>
      <c r="J349" s="55">
        <v>74.61</v>
      </c>
    </row>
    <row r="350" spans="1:10">
      <c r="A350" s="22">
        <v>45707</v>
      </c>
      <c r="B350" s="54">
        <v>5.7087000000000003</v>
      </c>
      <c r="I350" s="64">
        <v>45694</v>
      </c>
      <c r="J350" s="55">
        <v>74.290000000000006</v>
      </c>
    </row>
    <row r="351" spans="1:10">
      <c r="A351" s="22">
        <v>45708</v>
      </c>
      <c r="B351" s="54">
        <v>5.7019000000000002</v>
      </c>
      <c r="I351" s="64">
        <v>45695</v>
      </c>
      <c r="J351" s="55">
        <v>74.66</v>
      </c>
    </row>
    <row r="352" spans="1:10">
      <c r="A352" s="22">
        <v>45709</v>
      </c>
      <c r="B352" s="54">
        <v>5.7027000000000001</v>
      </c>
      <c r="I352" s="64">
        <v>45698</v>
      </c>
      <c r="J352" s="55">
        <v>75.87</v>
      </c>
    </row>
    <row r="353" spans="1:10">
      <c r="A353" s="22">
        <v>45712</v>
      </c>
      <c r="B353" s="54">
        <v>5.7257999999999996</v>
      </c>
      <c r="I353" s="64">
        <v>45699</v>
      </c>
      <c r="J353" s="55">
        <v>77</v>
      </c>
    </row>
    <row r="354" spans="1:10">
      <c r="A354" s="22">
        <v>45713</v>
      </c>
      <c r="B354" s="54">
        <v>5.7778999999999998</v>
      </c>
      <c r="I354" s="64">
        <v>45700</v>
      </c>
      <c r="J354" s="55">
        <v>75.180000000000007</v>
      </c>
    </row>
    <row r="355" spans="1:10">
      <c r="A355" s="22">
        <v>45714</v>
      </c>
      <c r="B355" s="54">
        <v>5.7756999999999996</v>
      </c>
      <c r="I355" s="64">
        <v>45701</v>
      </c>
      <c r="J355" s="55">
        <v>75.02</v>
      </c>
    </row>
    <row r="356" spans="1:10">
      <c r="A356" s="22">
        <v>45715</v>
      </c>
      <c r="B356" s="54">
        <v>5.8228</v>
      </c>
      <c r="I356" s="64">
        <v>45702</v>
      </c>
      <c r="J356" s="55">
        <v>74.739999999999995</v>
      </c>
    </row>
    <row r="357" spans="1:10">
      <c r="A357" s="22">
        <v>45716</v>
      </c>
      <c r="B357" s="54">
        <v>5.8487999999999998</v>
      </c>
      <c r="I357" s="64">
        <v>45705</v>
      </c>
      <c r="J357" s="55">
        <v>75.22</v>
      </c>
    </row>
    <row r="358" spans="1:10">
      <c r="A358" s="22">
        <v>45721</v>
      </c>
      <c r="B358" s="54">
        <v>5.7914000000000003</v>
      </c>
      <c r="I358" s="64">
        <v>45706</v>
      </c>
      <c r="J358" s="55">
        <v>75.84</v>
      </c>
    </row>
    <row r="359" spans="1:10">
      <c r="A359" s="22">
        <v>45722</v>
      </c>
      <c r="B359" s="54">
        <v>5.7488999999999999</v>
      </c>
      <c r="I359" s="64">
        <v>45707</v>
      </c>
      <c r="J359" s="55">
        <v>76.040000000000006</v>
      </c>
    </row>
    <row r="360" spans="1:10">
      <c r="A360" s="22">
        <v>45723</v>
      </c>
      <c r="B360" s="54">
        <v>5.7687999999999997</v>
      </c>
      <c r="I360" s="64">
        <v>45708</v>
      </c>
      <c r="J360" s="55">
        <v>76.48</v>
      </c>
    </row>
    <row r="361" spans="1:10">
      <c r="A361" s="22">
        <v>45726</v>
      </c>
      <c r="B361" s="54">
        <v>5.7930000000000001</v>
      </c>
      <c r="I361" s="64">
        <v>45709</v>
      </c>
      <c r="J361" s="55">
        <v>74.430000000000007</v>
      </c>
    </row>
    <row r="362" spans="1:10">
      <c r="A362" s="22">
        <v>45727</v>
      </c>
      <c r="B362" s="54">
        <v>5.8346</v>
      </c>
      <c r="I362" s="64">
        <v>45712</v>
      </c>
      <c r="J362" s="55">
        <v>74.78</v>
      </c>
    </row>
    <row r="363" spans="1:10">
      <c r="A363" s="22">
        <v>45728</v>
      </c>
      <c r="B363" s="54">
        <v>5.8268000000000004</v>
      </c>
      <c r="I363" s="64">
        <v>45713</v>
      </c>
      <c r="J363" s="55">
        <v>73.02</v>
      </c>
    </row>
    <row r="364" spans="1:10">
      <c r="A364" s="22">
        <v>45729</v>
      </c>
      <c r="B364" s="54">
        <v>5.8131000000000004</v>
      </c>
      <c r="I364" s="64">
        <v>45714</v>
      </c>
      <c r="J364" s="55">
        <v>72.53</v>
      </c>
    </row>
    <row r="365" spans="1:10">
      <c r="A365" s="22">
        <v>45730</v>
      </c>
      <c r="B365" s="54">
        <v>5.7419000000000002</v>
      </c>
      <c r="I365" s="64">
        <v>45715</v>
      </c>
      <c r="J365" s="55">
        <v>74.040000000000006</v>
      </c>
    </row>
    <row r="366" spans="1:10">
      <c r="A366" s="22">
        <v>45733</v>
      </c>
      <c r="B366" s="54">
        <v>5.7081999999999997</v>
      </c>
      <c r="I366" s="64">
        <v>45716</v>
      </c>
      <c r="J366" s="55">
        <v>73.180000000000007</v>
      </c>
    </row>
    <row r="367" spans="1:10">
      <c r="A367" s="22">
        <v>45734</v>
      </c>
      <c r="B367" s="54">
        <v>5.6852</v>
      </c>
      <c r="I367" s="64">
        <v>45719</v>
      </c>
      <c r="J367" s="55">
        <v>71.62</v>
      </c>
    </row>
    <row r="368" spans="1:10">
      <c r="A368" s="22">
        <v>45735</v>
      </c>
      <c r="B368" s="54">
        <v>5.6657000000000002</v>
      </c>
      <c r="I368" s="64">
        <v>45720</v>
      </c>
      <c r="J368" s="55">
        <v>71.040000000000006</v>
      </c>
    </row>
    <row r="369" spans="1:10">
      <c r="A369" s="22">
        <v>45736</v>
      </c>
      <c r="B369" s="54">
        <v>5.6627999999999998</v>
      </c>
      <c r="I369" s="64">
        <v>45721</v>
      </c>
      <c r="J369" s="55">
        <v>69.3</v>
      </c>
    </row>
    <row r="370" spans="1:10">
      <c r="A370" s="22">
        <v>45737</v>
      </c>
      <c r="B370" s="54">
        <v>5.7241</v>
      </c>
      <c r="I370" s="64">
        <v>45722</v>
      </c>
      <c r="J370" s="55">
        <v>69.459999999999994</v>
      </c>
    </row>
    <row r="371" spans="1:10">
      <c r="A371" s="22">
        <v>45740</v>
      </c>
      <c r="B371" s="54">
        <v>5.7403000000000004</v>
      </c>
      <c r="I371" s="64">
        <v>45723</v>
      </c>
      <c r="J371" s="55">
        <v>70.36</v>
      </c>
    </row>
    <row r="372" spans="1:10">
      <c r="A372" s="22">
        <v>45741</v>
      </c>
      <c r="B372" s="54">
        <v>5.6992000000000003</v>
      </c>
      <c r="I372" s="64">
        <v>45726</v>
      </c>
      <c r="J372" s="55">
        <v>69.28</v>
      </c>
    </row>
    <row r="373" spans="1:10">
      <c r="A373" s="22">
        <v>45742</v>
      </c>
      <c r="B373" s="54">
        <v>5.7298</v>
      </c>
      <c r="I373" s="64">
        <v>45727</v>
      </c>
      <c r="J373" s="55">
        <v>69.56</v>
      </c>
    </row>
    <row r="374" spans="1:10">
      <c r="A374" s="22">
        <v>45743</v>
      </c>
      <c r="B374" s="54">
        <v>5.7473999999999998</v>
      </c>
      <c r="I374" s="64">
        <v>45728</v>
      </c>
      <c r="J374" s="55">
        <v>70.95</v>
      </c>
    </row>
    <row r="375" spans="1:10">
      <c r="A375" s="22">
        <v>45744</v>
      </c>
      <c r="B375" s="54">
        <v>5.766</v>
      </c>
      <c r="I375" s="64">
        <v>45729</v>
      </c>
      <c r="J375" s="55">
        <v>69.88</v>
      </c>
    </row>
    <row r="376" spans="1:10">
      <c r="A376" s="22">
        <v>45747</v>
      </c>
      <c r="B376" s="54">
        <v>5.7422000000000004</v>
      </c>
      <c r="I376" s="64">
        <v>45730</v>
      </c>
      <c r="J376" s="55">
        <v>70.58</v>
      </c>
    </row>
    <row r="377" spans="1:10">
      <c r="A377" s="22">
        <v>45748</v>
      </c>
      <c r="B377" s="54">
        <v>5.7050999999999998</v>
      </c>
      <c r="I377" s="64">
        <v>45733</v>
      </c>
      <c r="J377" s="55">
        <v>71.069999999999993</v>
      </c>
    </row>
    <row r="378" spans="1:10">
      <c r="A378" s="22">
        <v>45749</v>
      </c>
      <c r="B378" s="54">
        <v>5.6923000000000004</v>
      </c>
      <c r="I378" s="64">
        <v>45734</v>
      </c>
      <c r="J378" s="55">
        <v>70.56</v>
      </c>
    </row>
    <row r="379" spans="1:10">
      <c r="A379" s="22">
        <v>45750</v>
      </c>
      <c r="B379" s="54">
        <v>5.6067</v>
      </c>
      <c r="I379" s="64">
        <v>45735</v>
      </c>
      <c r="J379" s="55">
        <v>70.78</v>
      </c>
    </row>
    <row r="380" spans="1:10">
      <c r="A380" s="22">
        <v>45751</v>
      </c>
      <c r="B380" s="54">
        <v>5.7777000000000003</v>
      </c>
      <c r="I380" s="64">
        <v>45736</v>
      </c>
      <c r="J380" s="55">
        <v>72</v>
      </c>
    </row>
    <row r="381" spans="1:10">
      <c r="A381" s="22">
        <v>45754</v>
      </c>
      <c r="B381" s="54">
        <v>5.8876999999999997</v>
      </c>
      <c r="I381" s="64">
        <v>45737</v>
      </c>
      <c r="J381" s="55">
        <v>72.16</v>
      </c>
    </row>
    <row r="382" spans="1:10">
      <c r="A382" s="22">
        <v>45755</v>
      </c>
      <c r="B382" s="54">
        <v>5.9367999999999999</v>
      </c>
      <c r="I382" s="64">
        <v>45740</v>
      </c>
      <c r="J382" s="55">
        <v>73</v>
      </c>
    </row>
    <row r="383" spans="1:10">
      <c r="A383" s="22">
        <v>45756</v>
      </c>
      <c r="B383" s="54">
        <v>6.0605000000000002</v>
      </c>
      <c r="I383" s="64">
        <v>45741</v>
      </c>
      <c r="J383" s="55">
        <v>73.02</v>
      </c>
    </row>
    <row r="384" spans="1:10">
      <c r="A384" s="22">
        <v>45757</v>
      </c>
      <c r="B384" s="54">
        <v>5.9115000000000002</v>
      </c>
      <c r="I384" s="64">
        <v>45742</v>
      </c>
      <c r="J384" s="55">
        <v>73.790000000000006</v>
      </c>
    </row>
    <row r="385" spans="1:12">
      <c r="A385" s="22">
        <v>45758</v>
      </c>
      <c r="B385" s="54">
        <v>5.8737000000000004</v>
      </c>
      <c r="I385" s="64">
        <v>45743</v>
      </c>
      <c r="J385" s="55">
        <v>74.03</v>
      </c>
    </row>
    <row r="386" spans="1:12">
      <c r="A386" s="22">
        <v>45761</v>
      </c>
      <c r="B386" s="54">
        <v>5.8425000000000002</v>
      </c>
      <c r="I386" s="64">
        <v>45744</v>
      </c>
      <c r="J386" s="55">
        <v>73.63</v>
      </c>
    </row>
    <row r="387" spans="1:12">
      <c r="A387" s="22">
        <v>45762</v>
      </c>
      <c r="B387" s="54">
        <v>5.8707000000000003</v>
      </c>
      <c r="I387" s="64">
        <v>45747</v>
      </c>
      <c r="J387" s="55">
        <v>74.739999999999995</v>
      </c>
    </row>
    <row r="388" spans="1:12">
      <c r="A388" s="22">
        <v>45763</v>
      </c>
      <c r="B388" s="32">
        <v>5.8807999999999998</v>
      </c>
      <c r="I388" s="64">
        <v>45748</v>
      </c>
      <c r="J388" s="55">
        <v>74.489999999999995</v>
      </c>
      <c r="L388" s="33"/>
    </row>
    <row r="389" spans="1:12">
      <c r="A389" s="22">
        <v>45764</v>
      </c>
      <c r="B389" s="32">
        <v>5.8559000000000001</v>
      </c>
      <c r="I389" s="64">
        <v>45749</v>
      </c>
      <c r="J389" s="55">
        <v>74.95</v>
      </c>
      <c r="L389" s="33"/>
    </row>
    <row r="390" spans="1:12">
      <c r="A390" s="22">
        <v>45769</v>
      </c>
      <c r="B390" s="32">
        <v>5.7496</v>
      </c>
      <c r="I390" s="64">
        <v>45750</v>
      </c>
      <c r="J390" s="55">
        <v>70.14</v>
      </c>
      <c r="L390" s="33"/>
    </row>
    <row r="391" spans="1:12">
      <c r="A391" s="22">
        <v>45770</v>
      </c>
      <c r="B391" s="54">
        <v>5.6879999999999997</v>
      </c>
      <c r="I391" s="64">
        <v>45751</v>
      </c>
      <c r="J391" s="55">
        <v>65.58</v>
      </c>
      <c r="L391" s="33"/>
    </row>
    <row r="392" spans="1:12">
      <c r="A392" s="22">
        <v>45771</v>
      </c>
      <c r="B392" s="54">
        <v>5.6738</v>
      </c>
      <c r="I392" s="64">
        <v>45754</v>
      </c>
      <c r="J392" s="55">
        <v>64.209999999999994</v>
      </c>
      <c r="L392" s="33"/>
    </row>
    <row r="393" spans="1:12">
      <c r="A393" s="22">
        <v>45772</v>
      </c>
      <c r="B393" s="54">
        <v>5.6845999999999997</v>
      </c>
      <c r="I393" s="64">
        <v>45755</v>
      </c>
      <c r="J393" s="55">
        <v>62.82</v>
      </c>
      <c r="L393" s="33"/>
    </row>
    <row r="394" spans="1:12">
      <c r="A394" s="22">
        <v>45775</v>
      </c>
      <c r="B394" s="54">
        <v>5.6680999999999999</v>
      </c>
      <c r="I394" s="64">
        <v>45756</v>
      </c>
      <c r="J394" s="55">
        <v>65.48</v>
      </c>
      <c r="L394" s="33"/>
    </row>
    <row r="395" spans="1:12">
      <c r="A395" s="22">
        <v>45776</v>
      </c>
      <c r="B395" s="54">
        <v>5.6467000000000001</v>
      </c>
      <c r="I395" s="64">
        <v>45757</v>
      </c>
      <c r="J395" s="55">
        <v>63.33</v>
      </c>
      <c r="L395" s="33"/>
    </row>
    <row r="396" spans="1:12">
      <c r="A396" s="22">
        <v>45777</v>
      </c>
      <c r="B396" s="54">
        <v>5.6608000000000001</v>
      </c>
      <c r="I396" s="64">
        <v>45758</v>
      </c>
      <c r="J396" s="55">
        <v>64.760000000000005</v>
      </c>
      <c r="L396" s="33"/>
    </row>
    <row r="397" spans="1:12">
      <c r="A397" s="22">
        <v>45779</v>
      </c>
      <c r="B397" s="54">
        <v>5.6394000000000002</v>
      </c>
      <c r="I397" s="64">
        <v>45761</v>
      </c>
      <c r="J397" s="55">
        <v>64.88</v>
      </c>
      <c r="L397" s="33"/>
    </row>
    <row r="398" spans="1:12">
      <c r="A398" s="22">
        <v>45782</v>
      </c>
      <c r="B398" s="54">
        <v>5.6520000000000001</v>
      </c>
      <c r="I398" s="64">
        <v>45762</v>
      </c>
      <c r="J398" s="55">
        <v>64.67</v>
      </c>
      <c r="L398" s="33"/>
    </row>
    <row r="399" spans="1:12">
      <c r="A399" s="22">
        <v>45783</v>
      </c>
      <c r="B399" s="54">
        <v>5.7210000000000001</v>
      </c>
      <c r="I399" s="64">
        <v>45763</v>
      </c>
      <c r="J399" s="55">
        <v>65.849999999999994</v>
      </c>
      <c r="L399" s="33"/>
    </row>
    <row r="400" spans="1:12">
      <c r="A400" s="22">
        <v>45784</v>
      </c>
      <c r="B400" s="54">
        <v>5.7374999999999998</v>
      </c>
      <c r="I400" s="64">
        <v>45764</v>
      </c>
      <c r="J400" s="55">
        <v>67.959999999999994</v>
      </c>
      <c r="L400" s="33"/>
    </row>
    <row r="401" spans="1:12">
      <c r="A401" s="22">
        <v>45785</v>
      </c>
      <c r="B401" s="54">
        <v>5.6859999999999999</v>
      </c>
      <c r="I401" s="64">
        <v>45768</v>
      </c>
      <c r="J401" s="55">
        <v>66.260000000000005</v>
      </c>
      <c r="L401" s="33"/>
    </row>
    <row r="402" spans="1:12">
      <c r="A402" s="22">
        <v>45786</v>
      </c>
      <c r="B402" s="54">
        <v>5.6510999999999996</v>
      </c>
      <c r="I402" s="64">
        <v>45769</v>
      </c>
      <c r="J402" s="55">
        <v>67.44</v>
      </c>
      <c r="L402" s="33"/>
    </row>
    <row r="403" spans="1:12">
      <c r="A403" s="22">
        <v>45789</v>
      </c>
      <c r="B403" s="54">
        <v>5.6821999999999999</v>
      </c>
      <c r="I403" s="64">
        <v>45770</v>
      </c>
      <c r="J403" s="55">
        <v>66.12</v>
      </c>
      <c r="L403" s="33"/>
    </row>
    <row r="404" spans="1:12">
      <c r="A404" s="22">
        <v>45790</v>
      </c>
      <c r="B404" s="54">
        <v>5.6261999999999999</v>
      </c>
      <c r="I404" s="64">
        <v>45771</v>
      </c>
      <c r="J404" s="55">
        <v>66.55</v>
      </c>
      <c r="L404" s="33"/>
    </row>
    <row r="405" spans="1:12">
      <c r="A405" s="22">
        <v>45791</v>
      </c>
      <c r="B405" s="54">
        <v>5.61</v>
      </c>
      <c r="I405" s="64">
        <v>45772</v>
      </c>
      <c r="J405" s="55">
        <v>66.87</v>
      </c>
      <c r="L405" s="33"/>
    </row>
    <row r="406" spans="1:12">
      <c r="A406" s="22">
        <v>45792</v>
      </c>
      <c r="B406" s="54">
        <v>5.6327999999999996</v>
      </c>
      <c r="I406" s="64">
        <v>45775</v>
      </c>
      <c r="J406" s="55">
        <v>65.86</v>
      </c>
      <c r="L406" s="33"/>
    </row>
    <row r="407" spans="1:12">
      <c r="A407" s="22">
        <v>45793</v>
      </c>
      <c r="B407" s="54">
        <v>5.6924999999999999</v>
      </c>
      <c r="I407" s="64">
        <v>45776</v>
      </c>
      <c r="J407" s="55">
        <v>64.25</v>
      </c>
      <c r="L407" s="33"/>
    </row>
    <row r="408" spans="1:12">
      <c r="A408" s="22">
        <v>45796</v>
      </c>
      <c r="B408" s="54">
        <v>5.6590999999999996</v>
      </c>
      <c r="I408" s="64">
        <v>45777</v>
      </c>
      <c r="J408" s="55">
        <v>63.12</v>
      </c>
      <c r="L408" s="33"/>
    </row>
    <row r="409" spans="1:12">
      <c r="A409" s="22">
        <v>45797</v>
      </c>
      <c r="B409" s="54">
        <v>5.6619999999999999</v>
      </c>
      <c r="I409" s="64">
        <v>45778</v>
      </c>
      <c r="J409" s="55">
        <v>62.13</v>
      </c>
      <c r="L409" s="33"/>
    </row>
    <row r="410" spans="1:12">
      <c r="A410" s="22">
        <v>45798</v>
      </c>
      <c r="B410" s="54">
        <v>5.6570999999999998</v>
      </c>
      <c r="I410" s="64">
        <v>45779</v>
      </c>
      <c r="J410" s="55">
        <v>61.29</v>
      </c>
      <c r="L410" s="33"/>
    </row>
    <row r="411" spans="1:12">
      <c r="A411" s="22">
        <v>45799</v>
      </c>
      <c r="B411" s="54">
        <v>5.6390000000000002</v>
      </c>
      <c r="I411" s="64">
        <v>45782</v>
      </c>
      <c r="J411" s="55">
        <v>60.23</v>
      </c>
      <c r="L411" s="33"/>
    </row>
    <row r="412" spans="1:12">
      <c r="A412" s="22">
        <v>45800</v>
      </c>
      <c r="B412" s="54">
        <v>5.6932</v>
      </c>
      <c r="I412" s="64">
        <v>45783</v>
      </c>
      <c r="J412" s="55">
        <v>62.15</v>
      </c>
      <c r="L412" s="33"/>
    </row>
    <row r="413" spans="1:12">
      <c r="A413" s="22">
        <v>45803</v>
      </c>
      <c r="B413" s="54">
        <v>5.6619000000000002</v>
      </c>
      <c r="I413" s="64">
        <v>45784</v>
      </c>
      <c r="J413" s="55">
        <v>61.12</v>
      </c>
      <c r="L413" s="33"/>
    </row>
    <row r="414" spans="1:12">
      <c r="A414" s="22">
        <v>45804</v>
      </c>
      <c r="B414" s="54">
        <v>5.6539000000000001</v>
      </c>
      <c r="I414" s="64">
        <v>45785</v>
      </c>
      <c r="J414" s="55">
        <v>62.84</v>
      </c>
      <c r="L414" s="33"/>
    </row>
    <row r="415" spans="1:12">
      <c r="A415" s="22">
        <v>45805</v>
      </c>
      <c r="B415" s="54">
        <v>5.6936</v>
      </c>
      <c r="I415" s="64">
        <v>45786</v>
      </c>
      <c r="J415" s="55">
        <v>63.91</v>
      </c>
      <c r="L415" s="33"/>
    </row>
    <row r="416" spans="1:12">
      <c r="A416" s="22">
        <v>45806</v>
      </c>
      <c r="B416" s="54">
        <v>5.6558999999999999</v>
      </c>
      <c r="I416" s="64">
        <v>45789</v>
      </c>
      <c r="J416" s="55">
        <v>64.959999999999994</v>
      </c>
      <c r="L416" s="33"/>
    </row>
    <row r="417" spans="1:12">
      <c r="A417" s="22">
        <v>45807</v>
      </c>
      <c r="B417" s="32">
        <v>5.7087000000000003</v>
      </c>
      <c r="I417" s="64">
        <v>45790</v>
      </c>
      <c r="J417" s="55">
        <v>66.63</v>
      </c>
      <c r="L417" s="33"/>
    </row>
    <row r="418" spans="1:12">
      <c r="A418" s="22">
        <v>45810</v>
      </c>
      <c r="B418" s="32">
        <v>5.6936999999999998</v>
      </c>
      <c r="I418" s="64">
        <v>45791</v>
      </c>
      <c r="J418" s="55">
        <v>66.09</v>
      </c>
      <c r="L418" s="33"/>
    </row>
    <row r="419" spans="1:12">
      <c r="A419" s="22">
        <v>45811</v>
      </c>
      <c r="B419" s="32">
        <v>5.6694000000000004</v>
      </c>
      <c r="I419" s="64">
        <v>45792</v>
      </c>
      <c r="J419" s="55">
        <v>64.53</v>
      </c>
      <c r="L419" s="33"/>
    </row>
    <row r="420" spans="1:12">
      <c r="A420" s="22">
        <v>45812</v>
      </c>
      <c r="B420" s="32">
        <v>5.6332000000000004</v>
      </c>
      <c r="I420" s="64">
        <v>45793</v>
      </c>
      <c r="J420" s="55">
        <v>65.41</v>
      </c>
      <c r="L420" s="33"/>
    </row>
    <row r="421" spans="1:12">
      <c r="A421" s="22">
        <v>45813</v>
      </c>
      <c r="B421" s="32">
        <v>5.5968999999999998</v>
      </c>
      <c r="I421" s="64">
        <v>45796</v>
      </c>
      <c r="J421" s="55">
        <v>65.540000000000006</v>
      </c>
      <c r="L421" s="33"/>
    </row>
    <row r="422" spans="1:12">
      <c r="A422" s="22">
        <v>45814</v>
      </c>
      <c r="B422" s="32">
        <v>5.5946999999999996</v>
      </c>
      <c r="I422" s="64">
        <v>45797</v>
      </c>
      <c r="J422" s="55">
        <v>65.38</v>
      </c>
      <c r="L422" s="33"/>
    </row>
    <row r="423" spans="1:12">
      <c r="A423" s="22">
        <v>45817</v>
      </c>
      <c r="B423" s="32">
        <v>5.5759999999999996</v>
      </c>
      <c r="I423" s="64">
        <v>45798</v>
      </c>
      <c r="J423" s="55">
        <v>64.91</v>
      </c>
      <c r="L423" s="33"/>
    </row>
    <row r="424" spans="1:12">
      <c r="A424" s="22">
        <v>45818</v>
      </c>
      <c r="B424" s="32">
        <v>5.5556999999999999</v>
      </c>
      <c r="I424" s="64">
        <v>45799</v>
      </c>
      <c r="J424" s="55">
        <v>64.44</v>
      </c>
      <c r="L424" s="33"/>
    </row>
    <row r="425" spans="1:12">
      <c r="A425" s="22">
        <v>45819</v>
      </c>
      <c r="B425" s="32">
        <v>5.5389999999999997</v>
      </c>
      <c r="I425" s="64">
        <v>45800</v>
      </c>
      <c r="J425" s="55">
        <v>64.78</v>
      </c>
      <c r="L425" s="33"/>
    </row>
    <row r="426" spans="1:12">
      <c r="A426" s="22">
        <v>45820</v>
      </c>
      <c r="B426" s="32">
        <v>5.5388000000000002</v>
      </c>
      <c r="I426" s="64">
        <v>45803</v>
      </c>
      <c r="J426" s="55">
        <v>64.739999999999995</v>
      </c>
      <c r="L426" s="33"/>
    </row>
    <row r="427" spans="1:12">
      <c r="A427" s="22">
        <v>45821</v>
      </c>
      <c r="B427" s="32">
        <v>5.5651999999999999</v>
      </c>
      <c r="I427" s="64">
        <v>45804</v>
      </c>
      <c r="J427" s="55">
        <v>64.09</v>
      </c>
      <c r="L427" s="33"/>
    </row>
    <row r="428" spans="1:12">
      <c r="A428" s="22">
        <v>45824</v>
      </c>
      <c r="B428" s="32">
        <v>5.5122999999999998</v>
      </c>
      <c r="I428" s="64">
        <v>45805</v>
      </c>
      <c r="J428" s="55">
        <v>64.900000000000006</v>
      </c>
      <c r="L428" s="33"/>
    </row>
    <row r="429" spans="1:12">
      <c r="A429" s="22">
        <v>45825</v>
      </c>
      <c r="B429" s="32">
        <v>5.4772999999999996</v>
      </c>
      <c r="I429" s="64">
        <v>45806</v>
      </c>
      <c r="J429" s="55">
        <v>64.150000000000006</v>
      </c>
      <c r="L429" s="33"/>
    </row>
    <row r="430" spans="1:12">
      <c r="A430" s="22">
        <v>45826</v>
      </c>
      <c r="B430" s="32">
        <v>5.4878999999999998</v>
      </c>
      <c r="I430" s="64">
        <v>45807</v>
      </c>
      <c r="J430" s="55">
        <v>63.9</v>
      </c>
      <c r="L430" s="33"/>
    </row>
    <row r="431" spans="1:12">
      <c r="A431" s="22">
        <v>45828</v>
      </c>
      <c r="B431" s="32">
        <v>5.4957000000000003</v>
      </c>
      <c r="I431" s="64">
        <v>45810</v>
      </c>
      <c r="J431" s="55">
        <v>64.63</v>
      </c>
      <c r="L431" s="33"/>
    </row>
    <row r="432" spans="1:12">
      <c r="A432" s="22">
        <v>45831</v>
      </c>
      <c r="B432" s="32">
        <v>5.5213000000000001</v>
      </c>
      <c r="I432" s="64">
        <v>45811</v>
      </c>
      <c r="J432" s="55">
        <v>65.63</v>
      </c>
      <c r="L432" s="33"/>
    </row>
    <row r="433" spans="1:12">
      <c r="A433" s="22">
        <v>45832</v>
      </c>
      <c r="B433" s="32">
        <v>5.4938000000000002</v>
      </c>
      <c r="I433" s="64">
        <v>45812</v>
      </c>
      <c r="J433" s="55">
        <v>64.86</v>
      </c>
      <c r="L433" s="33"/>
    </row>
    <row r="434" spans="1:12">
      <c r="A434" s="22">
        <v>45833</v>
      </c>
      <c r="B434" s="32">
        <v>5.5427</v>
      </c>
      <c r="I434" s="64">
        <v>45813</v>
      </c>
      <c r="J434" s="55">
        <v>65.34</v>
      </c>
      <c r="L434" s="33"/>
    </row>
    <row r="435" spans="1:12">
      <c r="A435" s="22">
        <v>45834</v>
      </c>
      <c r="B435" s="32">
        <v>5.5145</v>
      </c>
      <c r="I435" s="64">
        <v>45814</v>
      </c>
      <c r="J435" s="55">
        <v>66.47</v>
      </c>
      <c r="L435" s="33"/>
    </row>
    <row r="436" spans="1:12">
      <c r="A436" s="22">
        <v>45835</v>
      </c>
      <c r="B436" s="32">
        <v>5.4759000000000002</v>
      </c>
      <c r="I436" s="64">
        <v>45817</v>
      </c>
      <c r="J436" s="55">
        <v>67.040000000000006</v>
      </c>
      <c r="L436" s="33"/>
    </row>
    <row r="437" spans="1:12">
      <c r="A437" s="22">
        <v>45838</v>
      </c>
      <c r="B437" s="32">
        <v>5.4570999999999996</v>
      </c>
      <c r="I437" s="64">
        <v>45818</v>
      </c>
      <c r="J437" s="55">
        <v>66.87</v>
      </c>
      <c r="L437" s="33"/>
    </row>
    <row r="438" spans="1:12">
      <c r="A438" s="22">
        <v>45839</v>
      </c>
      <c r="B438" s="32">
        <v>5.4511000000000003</v>
      </c>
      <c r="I438" s="64">
        <v>45819</v>
      </c>
      <c r="J438" s="55">
        <v>69.77</v>
      </c>
      <c r="L438" s="33"/>
    </row>
    <row r="439" spans="1:12">
      <c r="A439" s="22">
        <v>45840</v>
      </c>
      <c r="B439" s="32">
        <v>5.4512</v>
      </c>
      <c r="I439" s="64">
        <v>45820</v>
      </c>
      <c r="J439" s="55">
        <v>69.36</v>
      </c>
      <c r="L439" s="33"/>
    </row>
    <row r="440" spans="1:12">
      <c r="A440" s="22">
        <v>45841</v>
      </c>
      <c r="B440" s="32">
        <v>5.4207999999999998</v>
      </c>
      <c r="I440" s="64">
        <v>45821</v>
      </c>
      <c r="J440" s="55">
        <v>74.23</v>
      </c>
      <c r="L440" s="33"/>
    </row>
    <row r="441" spans="1:12">
      <c r="A441" s="22">
        <v>45842</v>
      </c>
      <c r="B441" s="54">
        <v>5.4089999999999998</v>
      </c>
      <c r="I441" s="64">
        <v>45824</v>
      </c>
      <c r="J441" s="55">
        <v>73.23</v>
      </c>
      <c r="L441" s="33"/>
    </row>
    <row r="442" spans="1:12">
      <c r="A442" s="22">
        <v>45845</v>
      </c>
      <c r="B442" s="32">
        <v>5.4551999999999996</v>
      </c>
      <c r="I442" s="64">
        <v>45825</v>
      </c>
      <c r="J442" s="55">
        <v>76.45</v>
      </c>
      <c r="L442" s="33"/>
    </row>
    <row r="443" spans="1:12">
      <c r="A443" s="22">
        <v>45846</v>
      </c>
      <c r="B443" s="32">
        <v>5.4570999999999996</v>
      </c>
      <c r="I443" s="64">
        <v>45826</v>
      </c>
      <c r="J443" s="55">
        <v>76.7</v>
      </c>
      <c r="L443" s="33"/>
    </row>
    <row r="444" spans="1:12">
      <c r="A444" s="22">
        <v>45847</v>
      </c>
      <c r="B444" s="32">
        <v>5.4626000000000001</v>
      </c>
      <c r="I444" s="64">
        <v>45827</v>
      </c>
      <c r="J444" s="55">
        <v>78.850000000000009</v>
      </c>
      <c r="L444" s="33"/>
    </row>
    <row r="445" spans="1:12">
      <c r="A445" s="22">
        <v>45848</v>
      </c>
      <c r="B445" s="32">
        <v>5.5433000000000003</v>
      </c>
      <c r="I445" s="64">
        <v>45828</v>
      </c>
      <c r="J445" s="55">
        <v>77.010000000000005</v>
      </c>
      <c r="L445" s="33"/>
    </row>
    <row r="446" spans="1:12">
      <c r="A446" s="22">
        <v>45849</v>
      </c>
      <c r="B446" s="32">
        <v>5.5721999999999996</v>
      </c>
      <c r="I446" s="64">
        <v>45831</v>
      </c>
      <c r="J446" s="55">
        <v>71.48</v>
      </c>
      <c r="L446" s="33"/>
    </row>
    <row r="447" spans="1:12">
      <c r="A447" s="22">
        <v>45852</v>
      </c>
      <c r="B447" s="32">
        <v>5.5594999999999999</v>
      </c>
      <c r="I447" s="64">
        <v>45832</v>
      </c>
      <c r="J447" s="55">
        <v>67.14</v>
      </c>
      <c r="L447" s="33"/>
    </row>
    <row r="448" spans="1:12">
      <c r="A448" s="22">
        <v>45853</v>
      </c>
      <c r="B448" s="32">
        <v>5.5575999999999999</v>
      </c>
      <c r="I448" s="64">
        <v>45833</v>
      </c>
      <c r="J448" s="55">
        <v>67.680000000000007</v>
      </c>
      <c r="L448" s="33"/>
    </row>
    <row r="449" spans="1:12">
      <c r="A449" s="22">
        <v>45854</v>
      </c>
      <c r="B449" s="32">
        <v>5.5721999999999996</v>
      </c>
      <c r="I449" s="64">
        <v>45834</v>
      </c>
      <c r="J449" s="55">
        <v>67.73</v>
      </c>
      <c r="L449" s="33"/>
    </row>
    <row r="450" spans="1:12">
      <c r="A450" s="22">
        <v>45855</v>
      </c>
      <c r="B450" s="32">
        <v>5.5736999999999997</v>
      </c>
      <c r="I450" s="64">
        <v>45835</v>
      </c>
      <c r="J450" s="55">
        <v>67.77</v>
      </c>
      <c r="L450" s="33"/>
    </row>
    <row r="451" spans="1:12">
      <c r="A451" s="22">
        <v>45856</v>
      </c>
      <c r="B451" s="32">
        <v>5.5465999999999998</v>
      </c>
      <c r="I451" s="64">
        <v>45838</v>
      </c>
      <c r="J451" s="55">
        <v>67.61</v>
      </c>
      <c r="L451" s="33"/>
    </row>
    <row r="452" spans="1:12">
      <c r="A452" s="22">
        <v>45859</v>
      </c>
      <c r="B452" s="32">
        <v>5.5625</v>
      </c>
      <c r="I452" s="64">
        <v>45839</v>
      </c>
      <c r="J452" s="55">
        <v>67.11</v>
      </c>
      <c r="L452" s="64"/>
    </row>
    <row r="453" spans="1:12">
      <c r="A453" s="22">
        <v>45860</v>
      </c>
      <c r="B453" s="32">
        <v>5.5709</v>
      </c>
      <c r="I453" s="64">
        <v>45840</v>
      </c>
      <c r="J453" s="55">
        <v>69.11</v>
      </c>
      <c r="L453" s="64"/>
    </row>
    <row r="454" spans="1:12">
      <c r="A454" s="22">
        <v>45861</v>
      </c>
      <c r="B454" s="32">
        <v>5.5537000000000001</v>
      </c>
      <c r="I454" s="64">
        <v>45841</v>
      </c>
      <c r="J454" s="55">
        <v>68.8</v>
      </c>
      <c r="L454" s="64"/>
    </row>
    <row r="455" spans="1:12">
      <c r="A455" s="22">
        <v>45862</v>
      </c>
      <c r="B455" s="32">
        <v>5.5239000000000003</v>
      </c>
      <c r="I455" s="64">
        <v>45842</v>
      </c>
      <c r="J455" s="55">
        <v>68.3</v>
      </c>
      <c r="L455" s="64"/>
    </row>
    <row r="456" spans="1:12">
      <c r="A456" s="22">
        <v>45863</v>
      </c>
      <c r="B456" s="32">
        <v>5.5426000000000002</v>
      </c>
      <c r="I456" s="64">
        <v>45845</v>
      </c>
      <c r="J456" s="55">
        <v>69.58</v>
      </c>
      <c r="L456" s="64"/>
    </row>
    <row r="457" spans="1:12">
      <c r="A457" s="22">
        <v>45866</v>
      </c>
      <c r="B457" s="32">
        <v>5.5876999999999999</v>
      </c>
      <c r="I457" s="64">
        <v>45846</v>
      </c>
      <c r="J457" s="55">
        <v>70.150000000000006</v>
      </c>
      <c r="L457" s="64"/>
    </row>
    <row r="458" spans="1:12">
      <c r="A458" s="22">
        <v>45867</v>
      </c>
      <c r="B458" s="32">
        <v>5.5763999999999996</v>
      </c>
      <c r="I458" s="64">
        <v>45847</v>
      </c>
      <c r="J458" s="55">
        <v>70.19</v>
      </c>
      <c r="L458" s="64"/>
    </row>
    <row r="459" spans="1:12">
      <c r="A459" s="22">
        <v>45868</v>
      </c>
      <c r="B459" s="32">
        <v>5.6033999999999997</v>
      </c>
      <c r="I459" s="64">
        <v>45848</v>
      </c>
      <c r="J459" s="55">
        <v>68.64</v>
      </c>
      <c r="L459" s="64"/>
    </row>
    <row r="460" spans="1:12">
      <c r="A460" s="22">
        <v>45869</v>
      </c>
      <c r="B460" s="32">
        <v>5.6021000000000001</v>
      </c>
      <c r="I460" s="64">
        <v>45849</v>
      </c>
      <c r="J460" s="55">
        <v>70.36</v>
      </c>
      <c r="L460" s="64"/>
    </row>
    <row r="461" spans="1:12">
      <c r="A461" s="22">
        <v>45870</v>
      </c>
      <c r="B461" s="32">
        <v>5.5435999999999996</v>
      </c>
      <c r="I461" s="64">
        <v>45852</v>
      </c>
      <c r="J461" s="55">
        <v>69.209999999999994</v>
      </c>
      <c r="L461" s="64"/>
    </row>
    <row r="462" spans="1:12">
      <c r="A462" s="22">
        <v>45873</v>
      </c>
      <c r="B462" s="32">
        <v>5.5113000000000003</v>
      </c>
      <c r="I462" s="64">
        <v>45853</v>
      </c>
      <c r="J462" s="55">
        <v>68.709999999999994</v>
      </c>
      <c r="L462" s="64"/>
    </row>
    <row r="463" spans="1:12">
      <c r="A463" s="22">
        <v>45874</v>
      </c>
      <c r="B463" s="32">
        <v>5.5118999999999998</v>
      </c>
      <c r="I463" s="64">
        <v>45854</v>
      </c>
      <c r="J463" s="55">
        <v>68.52</v>
      </c>
      <c r="L463" s="64"/>
    </row>
    <row r="464" spans="1:12">
      <c r="A464" s="22">
        <v>45875</v>
      </c>
      <c r="B464" s="32">
        <v>5.4802</v>
      </c>
      <c r="I464" s="64">
        <v>45855</v>
      </c>
      <c r="J464" s="55">
        <v>69.52</v>
      </c>
      <c r="L464" s="64"/>
    </row>
    <row r="465" spans="1:12">
      <c r="A465" s="22">
        <v>45876</v>
      </c>
      <c r="B465" s="32">
        <v>5.4638</v>
      </c>
      <c r="I465" s="64">
        <v>45856</v>
      </c>
      <c r="J465" s="55">
        <v>69.28</v>
      </c>
      <c r="L465" s="64"/>
    </row>
    <row r="466" spans="1:12">
      <c r="A466" s="22">
        <v>45877</v>
      </c>
      <c r="B466" s="32">
        <v>5.4253999999999998</v>
      </c>
      <c r="I466" s="64">
        <v>45859</v>
      </c>
      <c r="J466" s="55">
        <v>69.209999999999994</v>
      </c>
      <c r="L466" s="64"/>
    </row>
    <row r="467" spans="1:12">
      <c r="A467" s="22">
        <v>45880</v>
      </c>
      <c r="B467" s="32">
        <v>5.4473000000000003</v>
      </c>
      <c r="I467" s="64">
        <v>45860</v>
      </c>
      <c r="J467" s="55">
        <v>68.59</v>
      </c>
      <c r="L467" s="64"/>
    </row>
    <row r="468" spans="1:12">
      <c r="A468" s="22">
        <v>45881</v>
      </c>
      <c r="B468" s="32">
        <v>5.4051999999999998</v>
      </c>
      <c r="I468" s="64">
        <v>45861</v>
      </c>
      <c r="J468" s="55">
        <v>68.510000000000005</v>
      </c>
      <c r="L468" s="64"/>
    </row>
    <row r="469" spans="1:12">
      <c r="A469" s="22">
        <v>45882</v>
      </c>
      <c r="B469" s="32">
        <v>5.3928000000000003</v>
      </c>
      <c r="I469" s="64">
        <v>45862</v>
      </c>
      <c r="J469" s="55">
        <v>69.180000000000007</v>
      </c>
      <c r="L469" s="64"/>
    </row>
    <row r="470" spans="1:12">
      <c r="A470" s="22">
        <v>45883</v>
      </c>
      <c r="B470" s="32">
        <v>5.4095000000000004</v>
      </c>
      <c r="I470" s="64">
        <v>45863</v>
      </c>
      <c r="J470" s="55">
        <v>68.44</v>
      </c>
      <c r="L470" s="64"/>
    </row>
    <row r="471" spans="1:12">
      <c r="A471" s="22">
        <v>45884</v>
      </c>
      <c r="B471" s="32">
        <v>5.3928000000000003</v>
      </c>
      <c r="I471" s="64">
        <v>45866</v>
      </c>
      <c r="J471" s="55">
        <v>70.040000000000006</v>
      </c>
      <c r="L471" s="64"/>
    </row>
    <row r="472" spans="1:12">
      <c r="A472" s="22">
        <v>45887</v>
      </c>
      <c r="B472" s="32">
        <v>5.4154999999999998</v>
      </c>
      <c r="I472" s="64">
        <v>45867</v>
      </c>
      <c r="J472" s="55">
        <v>72.510000000000005</v>
      </c>
      <c r="L472" s="64"/>
    </row>
    <row r="473" spans="1:12">
      <c r="A473" s="22">
        <v>45888</v>
      </c>
      <c r="B473" s="54">
        <v>5.4715999999999996</v>
      </c>
      <c r="I473" s="64">
        <v>45868</v>
      </c>
      <c r="J473" s="55">
        <v>73.239999999999995</v>
      </c>
      <c r="L473" s="64"/>
    </row>
    <row r="474" spans="1:12">
      <c r="A474" s="22">
        <v>45889</v>
      </c>
      <c r="B474" s="54">
        <v>5.4725999999999999</v>
      </c>
      <c r="I474" s="64">
        <v>45869</v>
      </c>
      <c r="J474" s="55">
        <v>72.53</v>
      </c>
      <c r="L474" s="64"/>
    </row>
    <row r="475" spans="1:12">
      <c r="A475" s="22">
        <v>45890</v>
      </c>
      <c r="B475" s="54">
        <v>5.4828000000000001</v>
      </c>
      <c r="I475" s="64">
        <v>45870</v>
      </c>
      <c r="J475" s="55">
        <v>69.67</v>
      </c>
      <c r="L475" s="64"/>
    </row>
    <row r="476" spans="1:12">
      <c r="A476" s="22">
        <v>45891</v>
      </c>
      <c r="B476" s="54">
        <v>5.4391999999999996</v>
      </c>
      <c r="I476" s="64">
        <v>45873</v>
      </c>
      <c r="J476" s="55">
        <v>68.760000000000005</v>
      </c>
      <c r="L476" s="64"/>
    </row>
    <row r="477" spans="1:12">
      <c r="A477" s="22">
        <v>45894</v>
      </c>
      <c r="B477" s="54">
        <v>5.4173999999999998</v>
      </c>
      <c r="I477" s="78">
        <v>45874</v>
      </c>
      <c r="J477" s="79">
        <v>67.64</v>
      </c>
      <c r="L477" s="64"/>
    </row>
    <row r="478" spans="1:12">
      <c r="A478" s="22">
        <v>45895</v>
      </c>
      <c r="B478" s="54">
        <v>5.4218000000000002</v>
      </c>
      <c r="I478" s="78">
        <v>45875</v>
      </c>
      <c r="J478" s="79">
        <v>66.89</v>
      </c>
      <c r="L478" s="64"/>
    </row>
    <row r="479" spans="1:12">
      <c r="A479" s="22">
        <v>45896</v>
      </c>
      <c r="B479" s="54">
        <v>5.4428000000000001</v>
      </c>
      <c r="I479" s="78">
        <v>45876</v>
      </c>
      <c r="J479" s="79">
        <v>66.430000000000007</v>
      </c>
      <c r="L479" s="64"/>
    </row>
    <row r="480" spans="1:12">
      <c r="A480" s="22">
        <v>45897</v>
      </c>
      <c r="B480" s="54">
        <v>5.4115000000000002</v>
      </c>
      <c r="I480" s="78">
        <v>45877</v>
      </c>
      <c r="J480" s="79">
        <v>66.59</v>
      </c>
      <c r="L480" s="64"/>
    </row>
    <row r="481" spans="1:12">
      <c r="A481" s="22">
        <v>45898</v>
      </c>
      <c r="B481" s="54">
        <v>5.4264000000000001</v>
      </c>
      <c r="I481" s="78">
        <v>45880</v>
      </c>
      <c r="J481" s="79">
        <v>66.63</v>
      </c>
      <c r="L481" s="64"/>
    </row>
    <row r="482" spans="1:12">
      <c r="A482" s="22">
        <v>45901</v>
      </c>
      <c r="B482" s="54">
        <v>5.4378000000000002</v>
      </c>
      <c r="I482" s="78">
        <v>45881</v>
      </c>
      <c r="J482" s="79">
        <v>66.12</v>
      </c>
      <c r="L482" s="64"/>
    </row>
    <row r="483" spans="1:12">
      <c r="A483" s="22">
        <v>45902</v>
      </c>
      <c r="B483" s="54">
        <v>5.468</v>
      </c>
      <c r="I483" s="78">
        <v>45882</v>
      </c>
      <c r="J483" s="79">
        <v>65.63</v>
      </c>
      <c r="L483" s="64"/>
    </row>
    <row r="484" spans="1:12">
      <c r="A484" s="22">
        <v>45903</v>
      </c>
      <c r="B484" s="54">
        <v>5.4485000000000001</v>
      </c>
      <c r="I484" s="78">
        <v>45883</v>
      </c>
      <c r="J484" s="79">
        <v>66.84</v>
      </c>
      <c r="L484" s="64"/>
    </row>
    <row r="485" spans="1:12">
      <c r="A485" s="22">
        <v>45904</v>
      </c>
      <c r="B485" s="54">
        <v>5.4587000000000003</v>
      </c>
      <c r="I485" s="78">
        <v>45884</v>
      </c>
      <c r="J485" s="79">
        <v>65.849999999999994</v>
      </c>
      <c r="L485" s="64"/>
    </row>
    <row r="486" spans="1:12">
      <c r="A486" s="22">
        <v>45905</v>
      </c>
      <c r="B486" s="54">
        <v>5.3967999999999998</v>
      </c>
      <c r="I486" s="78">
        <v>45887</v>
      </c>
      <c r="J486" s="79">
        <v>66.599999999999994</v>
      </c>
      <c r="L486" s="64"/>
    </row>
    <row r="487" spans="1:12">
      <c r="A487" s="22">
        <v>45908</v>
      </c>
      <c r="B487" s="54">
        <v>5.4278000000000004</v>
      </c>
      <c r="I487" s="78">
        <v>45888</v>
      </c>
      <c r="J487" s="79">
        <v>65.790000000000006</v>
      </c>
      <c r="L487" s="64"/>
    </row>
    <row r="488" spans="1:12">
      <c r="A488" s="22">
        <v>45909</v>
      </c>
      <c r="B488" s="54">
        <v>5.4278000000000004</v>
      </c>
      <c r="I488" s="78">
        <v>45889</v>
      </c>
      <c r="J488" s="79">
        <v>66.84</v>
      </c>
      <c r="L488" s="64"/>
    </row>
    <row r="489" spans="1:12">
      <c r="A489" s="22">
        <v>45910</v>
      </c>
      <c r="B489" s="54">
        <v>5.4123000000000001</v>
      </c>
      <c r="I489" s="78">
        <v>45890</v>
      </c>
      <c r="J489" s="79">
        <v>67.67</v>
      </c>
      <c r="L489" s="64"/>
    </row>
    <row r="490" spans="1:12">
      <c r="A490" s="22">
        <v>45911</v>
      </c>
      <c r="B490" s="54">
        <v>5.3857999999999997</v>
      </c>
      <c r="I490" s="78">
        <v>45891</v>
      </c>
      <c r="J490" s="79">
        <v>67.73</v>
      </c>
      <c r="L490" s="64"/>
    </row>
    <row r="491" spans="1:12">
      <c r="A491" s="22">
        <v>45912</v>
      </c>
      <c r="B491" s="54">
        <v>5.3677000000000001</v>
      </c>
      <c r="I491" s="78">
        <v>45894</v>
      </c>
      <c r="J491" s="79">
        <v>68.8</v>
      </c>
      <c r="L491" s="64"/>
    </row>
    <row r="492" spans="1:12">
      <c r="A492" s="22">
        <v>45915</v>
      </c>
      <c r="B492" s="54">
        <v>5.3208000000000002</v>
      </c>
      <c r="I492" s="78">
        <v>45895</v>
      </c>
      <c r="J492" s="79">
        <v>67.22</v>
      </c>
      <c r="L492" s="64"/>
    </row>
    <row r="493" spans="1:12">
      <c r="A493" s="22">
        <v>45916</v>
      </c>
      <c r="B493" s="54">
        <v>5.3095999999999997</v>
      </c>
      <c r="I493" s="78">
        <v>45896</v>
      </c>
      <c r="J493" s="79">
        <v>68.05</v>
      </c>
      <c r="L493" s="64"/>
    </row>
    <row r="494" spans="1:12">
      <c r="A494" s="22">
        <v>45917</v>
      </c>
      <c r="B494" s="54">
        <v>5.3010999999999999</v>
      </c>
      <c r="I494" s="78">
        <v>45897</v>
      </c>
      <c r="J494" s="79">
        <v>68.62</v>
      </c>
      <c r="L494" s="64"/>
    </row>
    <row r="495" spans="1:12">
      <c r="A495" s="22">
        <v>45918</v>
      </c>
      <c r="B495" s="54">
        <v>5.3010000000000002</v>
      </c>
      <c r="I495" s="78">
        <v>45898</v>
      </c>
      <c r="J495" s="79">
        <v>68.12</v>
      </c>
      <c r="L495" s="64"/>
    </row>
    <row r="496" spans="1:12">
      <c r="A496" s="22">
        <v>45919</v>
      </c>
      <c r="B496" s="54">
        <v>5.3276000000000003</v>
      </c>
      <c r="I496" s="78">
        <v>45901</v>
      </c>
      <c r="J496" s="79">
        <v>68.150000000000006</v>
      </c>
      <c r="L496" s="64"/>
    </row>
    <row r="497" spans="1:12">
      <c r="A497" s="22">
        <v>45922</v>
      </c>
      <c r="B497" s="54">
        <v>5.3456999999999999</v>
      </c>
      <c r="I497" s="78">
        <v>45902</v>
      </c>
      <c r="J497" s="79">
        <v>69.14</v>
      </c>
      <c r="L497" s="64"/>
    </row>
    <row r="498" spans="1:12">
      <c r="A498" s="22">
        <v>45923</v>
      </c>
      <c r="B498" s="54">
        <v>5.3063000000000002</v>
      </c>
      <c r="I498" s="78">
        <v>45903</v>
      </c>
      <c r="J498" s="79">
        <v>67.599999999999994</v>
      </c>
      <c r="L498" s="64"/>
    </row>
    <row r="499" spans="1:12">
      <c r="A499" s="22">
        <v>45924</v>
      </c>
      <c r="B499" s="54">
        <v>5.3112000000000004</v>
      </c>
      <c r="I499" s="78">
        <v>45904</v>
      </c>
      <c r="J499" s="79">
        <v>66.989999999999995</v>
      </c>
      <c r="L499" s="64"/>
    </row>
    <row r="500" spans="1:12">
      <c r="A500" s="22">
        <v>45925</v>
      </c>
      <c r="B500" s="54">
        <v>5.3425000000000002</v>
      </c>
      <c r="I500" s="78">
        <v>45905</v>
      </c>
      <c r="J500" s="79">
        <v>65.5</v>
      </c>
      <c r="L500" s="64"/>
    </row>
    <row r="501" spans="1:12">
      <c r="A501" s="22">
        <v>45926</v>
      </c>
      <c r="B501" s="54">
        <v>5.3445</v>
      </c>
      <c r="I501" s="78">
        <v>45908</v>
      </c>
      <c r="J501" s="79">
        <v>66.02</v>
      </c>
      <c r="L501" s="64"/>
    </row>
    <row r="502" spans="1:12">
      <c r="A502" s="22">
        <v>45929</v>
      </c>
      <c r="B502" s="54">
        <v>5.3228999999999997</v>
      </c>
      <c r="I502" s="78">
        <v>45909</v>
      </c>
      <c r="J502" s="79">
        <v>66.39</v>
      </c>
      <c r="L502" s="64"/>
    </row>
    <row r="503" spans="1:12">
      <c r="A503" s="22">
        <v>45930</v>
      </c>
      <c r="B503" s="54">
        <v>5.3186</v>
      </c>
      <c r="I503" s="78">
        <v>45910</v>
      </c>
      <c r="J503" s="79">
        <v>67.489999999999995</v>
      </c>
      <c r="L503" s="64"/>
    </row>
    <row r="504" spans="1:12">
      <c r="A504" s="22">
        <v>45931</v>
      </c>
      <c r="B504" s="54">
        <v>5.3208000000000002</v>
      </c>
      <c r="I504" s="78">
        <v>45911</v>
      </c>
      <c r="J504" s="79">
        <v>66.37</v>
      </c>
      <c r="L504" s="64"/>
    </row>
    <row r="505" spans="1:12">
      <c r="A505" s="22">
        <v>45932</v>
      </c>
      <c r="B505" s="54">
        <v>5.3449</v>
      </c>
      <c r="I505" s="78">
        <v>45912</v>
      </c>
      <c r="J505" s="79">
        <v>66.989999999999995</v>
      </c>
      <c r="L505" s="64"/>
    </row>
    <row r="506" spans="1:12">
      <c r="A506" s="22">
        <v>45933</v>
      </c>
      <c r="B506" s="54">
        <v>5.3498000000000001</v>
      </c>
      <c r="I506" s="78">
        <v>45915</v>
      </c>
      <c r="J506" s="79">
        <v>67.44</v>
      </c>
      <c r="L506" s="64"/>
    </row>
    <row r="507" spans="1:12">
      <c r="A507" s="22">
        <v>45936</v>
      </c>
      <c r="B507" s="54">
        <v>5.3226000000000004</v>
      </c>
      <c r="I507" s="78">
        <v>45916</v>
      </c>
      <c r="J507" s="79">
        <v>68.47</v>
      </c>
      <c r="L507" s="64"/>
    </row>
    <row r="508" spans="1:12">
      <c r="A508" s="22">
        <v>45937</v>
      </c>
      <c r="B508" s="54">
        <v>5.3362999999999996</v>
      </c>
      <c r="I508" s="78">
        <v>45917</v>
      </c>
      <c r="J508" s="79">
        <v>67.95</v>
      </c>
      <c r="L508" s="64"/>
    </row>
    <row r="509" spans="1:12">
      <c r="A509" s="22">
        <v>45938</v>
      </c>
      <c r="B509" s="54">
        <v>5.3426999999999998</v>
      </c>
      <c r="I509" s="78">
        <v>45918</v>
      </c>
      <c r="J509" s="79">
        <v>67.44</v>
      </c>
      <c r="L509" s="64"/>
    </row>
    <row r="510" spans="1:12">
      <c r="A510" s="22">
        <v>45939</v>
      </c>
      <c r="B510" s="54">
        <v>5.3537999999999997</v>
      </c>
      <c r="I510" s="78">
        <v>45919</v>
      </c>
      <c r="J510" s="79">
        <v>66.680000000000007</v>
      </c>
      <c r="L510" s="64"/>
    </row>
    <row r="511" spans="1:12">
      <c r="A511" s="22">
        <v>45940</v>
      </c>
      <c r="B511" s="54">
        <v>5.4446000000000003</v>
      </c>
      <c r="I511" s="78">
        <v>45922</v>
      </c>
      <c r="J511" s="79">
        <v>66.569999999999993</v>
      </c>
      <c r="L511" s="64"/>
    </row>
    <row r="512" spans="1:12">
      <c r="A512" s="22">
        <v>45943</v>
      </c>
      <c r="B512" s="54">
        <v>5.4629000000000003</v>
      </c>
      <c r="I512" s="78">
        <v>45923</v>
      </c>
      <c r="J512" s="79">
        <v>67.63</v>
      </c>
      <c r="L512" s="64"/>
    </row>
    <row r="513" spans="1:12">
      <c r="A513" s="22">
        <v>45944</v>
      </c>
      <c r="B513" s="54">
        <v>5.4981999999999998</v>
      </c>
      <c r="I513" s="78">
        <v>45924</v>
      </c>
      <c r="J513" s="79">
        <v>69.31</v>
      </c>
      <c r="L513" s="64"/>
    </row>
    <row r="514" spans="1:12">
      <c r="A514" s="22">
        <v>45945</v>
      </c>
      <c r="B514" s="54">
        <v>5.4463999999999997</v>
      </c>
      <c r="I514" s="78">
        <v>45925</v>
      </c>
      <c r="J514" s="79">
        <v>69.42</v>
      </c>
      <c r="L514" s="64"/>
    </row>
    <row r="515" spans="1:12">
      <c r="A515" s="22">
        <v>45946</v>
      </c>
      <c r="B515" s="54">
        <v>5.4353999999999996</v>
      </c>
      <c r="I515" s="78">
        <v>45926</v>
      </c>
      <c r="J515" s="79">
        <v>70.13</v>
      </c>
      <c r="L515" s="64"/>
    </row>
    <row r="516" spans="1:12">
      <c r="A516" s="22">
        <v>45947</v>
      </c>
      <c r="B516" s="54">
        <v>5.4390000000000001</v>
      </c>
      <c r="E516" s="64"/>
      <c r="F516" s="55"/>
      <c r="I516" s="78">
        <v>45929</v>
      </c>
      <c r="J516" s="79">
        <v>67.97</v>
      </c>
      <c r="L516" s="64"/>
    </row>
    <row r="517" spans="1:12">
      <c r="A517" s="22">
        <v>45950</v>
      </c>
      <c r="B517" s="54">
        <v>5.3771000000000004</v>
      </c>
      <c r="E517" s="64"/>
      <c r="F517" s="55"/>
      <c r="I517" s="78">
        <v>45930</v>
      </c>
      <c r="J517" s="79">
        <v>67.02</v>
      </c>
      <c r="L517" s="64"/>
    </row>
    <row r="518" spans="1:12">
      <c r="A518" s="22">
        <v>45951</v>
      </c>
      <c r="B518" s="32">
        <v>5.3848000000000003</v>
      </c>
      <c r="E518" s="64"/>
      <c r="F518" s="55"/>
      <c r="I518" s="78">
        <v>45931</v>
      </c>
      <c r="J518" s="79">
        <v>65.349999999999994</v>
      </c>
    </row>
    <row r="519" spans="1:12">
      <c r="A519" s="22">
        <v>45952</v>
      </c>
      <c r="B519" s="32">
        <v>5.3898000000000001</v>
      </c>
      <c r="E519" s="64"/>
      <c r="F519" s="55"/>
      <c r="I519" s="78">
        <v>45932</v>
      </c>
      <c r="J519" s="79">
        <v>64.11</v>
      </c>
    </row>
    <row r="520" spans="1:12">
      <c r="A520" s="22">
        <v>45953</v>
      </c>
      <c r="B520" s="32">
        <v>5.3840000000000003</v>
      </c>
      <c r="E520" s="64"/>
      <c r="F520" s="55"/>
      <c r="I520" s="78">
        <v>45933</v>
      </c>
      <c r="J520" s="79">
        <v>64.53</v>
      </c>
    </row>
    <row r="521" spans="1:12">
      <c r="A521" s="22">
        <v>45954</v>
      </c>
      <c r="B521" s="32">
        <v>5.3796999999999997</v>
      </c>
      <c r="E521" s="64"/>
      <c r="F521" s="55"/>
      <c r="I521" s="78">
        <v>45936</v>
      </c>
      <c r="J521" s="79">
        <v>65.47</v>
      </c>
    </row>
    <row r="522" spans="1:12">
      <c r="A522" s="22">
        <v>45957</v>
      </c>
      <c r="B522" s="32">
        <v>5.3743999999999996</v>
      </c>
      <c r="E522" s="64"/>
      <c r="F522" s="55"/>
      <c r="I522" s="78">
        <v>45937</v>
      </c>
      <c r="J522" s="79">
        <v>65.45</v>
      </c>
    </row>
    <row r="523" spans="1:12">
      <c r="A523" s="22">
        <v>45958</v>
      </c>
      <c r="B523" s="32">
        <v>5.3689999999999998</v>
      </c>
      <c r="E523" s="64"/>
      <c r="F523" s="55"/>
      <c r="I523" s="78">
        <v>45938</v>
      </c>
      <c r="J523" s="79">
        <v>66.25</v>
      </c>
    </row>
    <row r="524" spans="1:12">
      <c r="A524" s="22">
        <v>45959</v>
      </c>
      <c r="B524" s="32">
        <v>5.3415999999999997</v>
      </c>
      <c r="E524" s="64"/>
      <c r="F524" s="55"/>
      <c r="I524" s="78">
        <v>45939</v>
      </c>
      <c r="J524" s="79">
        <v>65.22</v>
      </c>
    </row>
    <row r="525" spans="1:12">
      <c r="A525" s="22">
        <v>45960</v>
      </c>
      <c r="B525" s="32">
        <v>5.3849999999999998</v>
      </c>
      <c r="E525" s="64"/>
      <c r="F525" s="55"/>
      <c r="I525" s="78">
        <v>45940</v>
      </c>
      <c r="J525" s="79">
        <v>62.73</v>
      </c>
    </row>
    <row r="526" spans="1:12">
      <c r="A526" s="22">
        <v>45961</v>
      </c>
      <c r="B526" s="32">
        <v>5.3842999999999996</v>
      </c>
      <c r="E526" s="64"/>
      <c r="F526" s="55"/>
      <c r="I526" s="78">
        <v>45943</v>
      </c>
      <c r="J526" s="79">
        <v>63.32</v>
      </c>
    </row>
    <row r="527" spans="1:12">
      <c r="A527" s="22">
        <v>45964</v>
      </c>
      <c r="B527" s="32">
        <v>5.3505000000000003</v>
      </c>
      <c r="E527" s="64"/>
      <c r="F527" s="55"/>
      <c r="I527" s="64">
        <v>45944</v>
      </c>
      <c r="J527" s="55">
        <v>62.39</v>
      </c>
    </row>
    <row r="528" spans="1:12">
      <c r="A528" s="22">
        <v>45965</v>
      </c>
      <c r="B528" s="32">
        <v>5.3845999999999998</v>
      </c>
      <c r="E528" s="64"/>
      <c r="F528" s="55"/>
      <c r="I528" s="64">
        <v>45945</v>
      </c>
      <c r="J528" s="55">
        <v>61.91</v>
      </c>
    </row>
    <row r="529" spans="1:10">
      <c r="A529" s="22">
        <v>45966</v>
      </c>
      <c r="B529" s="32">
        <v>5.3798000000000004</v>
      </c>
      <c r="E529" s="64"/>
      <c r="F529" s="55"/>
      <c r="I529" s="64">
        <v>45946</v>
      </c>
      <c r="J529" s="55">
        <v>61.06</v>
      </c>
    </row>
    <row r="530" spans="1:10">
      <c r="A530" s="22">
        <v>45967</v>
      </c>
      <c r="B530" s="32">
        <v>5.3451000000000004</v>
      </c>
      <c r="E530" s="64"/>
      <c r="F530" s="55"/>
      <c r="I530" s="64">
        <v>45947</v>
      </c>
      <c r="J530" s="55">
        <v>61.29</v>
      </c>
    </row>
    <row r="531" spans="1:10">
      <c r="A531" s="22">
        <v>45968</v>
      </c>
      <c r="B531" s="32">
        <v>5.3567</v>
      </c>
      <c r="E531" s="64"/>
      <c r="F531" s="55"/>
      <c r="I531" s="64">
        <v>45950</v>
      </c>
      <c r="J531" s="55">
        <v>61.01</v>
      </c>
    </row>
    <row r="532" spans="1:10">
      <c r="A532" s="22">
        <v>45971</v>
      </c>
      <c r="B532" s="32">
        <v>5.3181000000000003</v>
      </c>
      <c r="E532" s="64"/>
      <c r="F532" s="55"/>
      <c r="I532" s="64">
        <v>45951</v>
      </c>
      <c r="J532" s="55">
        <v>61.32</v>
      </c>
    </row>
    <row r="533" spans="1:10">
      <c r="A533" s="22">
        <v>45972</v>
      </c>
      <c r="B533" s="32">
        <v>5.2728999999999999</v>
      </c>
      <c r="E533" s="64"/>
      <c r="F533" s="55"/>
      <c r="I533" s="64">
        <v>45952</v>
      </c>
      <c r="J533" s="55">
        <v>62.59</v>
      </c>
    </row>
    <row r="534" spans="1:10">
      <c r="A534" s="22">
        <v>45973</v>
      </c>
      <c r="B534" s="32">
        <v>5.2885</v>
      </c>
      <c r="E534" s="64"/>
      <c r="F534" s="55"/>
      <c r="I534" s="64">
        <v>45953</v>
      </c>
      <c r="J534" s="55">
        <v>65.989999999999995</v>
      </c>
    </row>
    <row r="535" spans="1:10">
      <c r="A535" s="22">
        <v>45974</v>
      </c>
      <c r="B535" s="32">
        <v>5.282</v>
      </c>
      <c r="E535" s="64"/>
      <c r="F535" s="55"/>
      <c r="I535" s="64">
        <v>45954</v>
      </c>
      <c r="J535" s="55">
        <v>65.94</v>
      </c>
    </row>
    <row r="536" spans="1:10">
      <c r="A536" s="22">
        <v>45975</v>
      </c>
      <c r="B536" s="32">
        <v>5.2952000000000004</v>
      </c>
      <c r="E536" s="64"/>
      <c r="F536" s="55"/>
      <c r="I536" s="64">
        <v>45957</v>
      </c>
      <c r="J536" s="55">
        <v>65.62</v>
      </c>
    </row>
    <row r="537" spans="1:10">
      <c r="A537" s="22">
        <v>45978</v>
      </c>
      <c r="B537" s="32">
        <v>5.3108000000000004</v>
      </c>
      <c r="E537" s="64"/>
      <c r="F537" s="55"/>
      <c r="I537" s="64">
        <v>45958</v>
      </c>
      <c r="J537" s="55">
        <v>64.400000000000006</v>
      </c>
    </row>
    <row r="538" spans="1:10">
      <c r="A538" s="22">
        <v>45979</v>
      </c>
      <c r="B538" s="32">
        <v>5.3361000000000001</v>
      </c>
      <c r="E538" s="64"/>
      <c r="F538" s="55"/>
      <c r="I538" s="64">
        <v>45959</v>
      </c>
      <c r="J538" s="55">
        <v>64.92</v>
      </c>
    </row>
    <row r="539" spans="1:10">
      <c r="A539" s="22">
        <v>45980</v>
      </c>
      <c r="B539" s="32">
        <v>5.3346</v>
      </c>
      <c r="E539" s="64"/>
      <c r="F539" s="55"/>
      <c r="I539" s="64">
        <v>45960</v>
      </c>
      <c r="J539" s="55">
        <v>65</v>
      </c>
    </row>
    <row r="540" spans="1:10">
      <c r="A540" s="22">
        <v>45982</v>
      </c>
      <c r="B540" s="32">
        <v>5.3902000000000001</v>
      </c>
      <c r="E540" s="64"/>
      <c r="F540" s="55"/>
      <c r="I540" s="64">
        <v>45961</v>
      </c>
      <c r="J540" s="55">
        <v>65.069999999999993</v>
      </c>
    </row>
    <row r="541" spans="1:10">
      <c r="A541" s="22">
        <v>45985</v>
      </c>
      <c r="B541" s="32">
        <v>5.3948</v>
      </c>
      <c r="E541" s="64"/>
      <c r="F541" s="55"/>
      <c r="I541" s="64">
        <v>45964</v>
      </c>
      <c r="J541" s="55">
        <v>64.89</v>
      </c>
    </row>
    <row r="542" spans="1:10">
      <c r="A542" s="22">
        <v>45986</v>
      </c>
      <c r="B542" s="32">
        <v>5.3841000000000001</v>
      </c>
      <c r="E542" s="64"/>
      <c r="F542" s="55"/>
      <c r="I542" s="64">
        <v>45965</v>
      </c>
      <c r="J542" s="55">
        <v>64.44</v>
      </c>
    </row>
    <row r="543" spans="1:10">
      <c r="A543" s="22">
        <v>45987</v>
      </c>
      <c r="B543" s="32">
        <v>5.3693999999999997</v>
      </c>
      <c r="E543" s="64"/>
      <c r="F543" s="55"/>
      <c r="I543" s="64">
        <v>45966</v>
      </c>
      <c r="J543" s="55">
        <v>63.52</v>
      </c>
    </row>
    <row r="544" spans="1:10">
      <c r="A544" s="22">
        <v>45988</v>
      </c>
      <c r="B544" s="32">
        <v>5.3490000000000002</v>
      </c>
      <c r="I544" s="64">
        <v>45967</v>
      </c>
      <c r="J544" s="55">
        <v>63.38</v>
      </c>
    </row>
    <row r="545" spans="1:10">
      <c r="A545" s="22">
        <v>45989</v>
      </c>
      <c r="B545" s="32">
        <v>5.3338000000000001</v>
      </c>
      <c r="I545" s="64">
        <v>45968</v>
      </c>
      <c r="J545" s="55">
        <v>63.63</v>
      </c>
    </row>
    <row r="546" spans="1:10">
      <c r="A546" s="22"/>
      <c r="I546" s="64">
        <v>45971</v>
      </c>
      <c r="J546" s="55">
        <v>64.06</v>
      </c>
    </row>
    <row r="547" spans="1:10">
      <c r="A547" s="22"/>
      <c r="I547" s="64">
        <v>45972</v>
      </c>
      <c r="J547" s="55">
        <v>65.16</v>
      </c>
    </row>
    <row r="548" spans="1:10">
      <c r="A548" s="22"/>
      <c r="I548" s="64">
        <v>45973</v>
      </c>
      <c r="J548" s="55">
        <v>62.71</v>
      </c>
    </row>
    <row r="549" spans="1:10">
      <c r="A549" s="22"/>
      <c r="I549" s="64">
        <v>45974</v>
      </c>
      <c r="J549" s="55">
        <v>63.01</v>
      </c>
    </row>
    <row r="550" spans="1:10">
      <c r="A550" s="22"/>
      <c r="I550" s="64">
        <v>45975</v>
      </c>
      <c r="J550" s="55">
        <v>64.39</v>
      </c>
    </row>
    <row r="551" spans="1:10">
      <c r="A551" s="22"/>
      <c r="I551" s="64">
        <v>45978</v>
      </c>
      <c r="J551" s="55">
        <v>64.2</v>
      </c>
    </row>
    <row r="552" spans="1:10">
      <c r="A552" s="22"/>
      <c r="I552" s="64">
        <v>45979</v>
      </c>
      <c r="J552" s="55">
        <v>64.89</v>
      </c>
    </row>
    <row r="553" spans="1:10">
      <c r="A553" s="22"/>
      <c r="I553" s="64">
        <v>45980</v>
      </c>
      <c r="J553" s="55">
        <v>63.51</v>
      </c>
    </row>
    <row r="554" spans="1:10">
      <c r="A554" s="22"/>
      <c r="I554" s="64">
        <v>45981</v>
      </c>
      <c r="J554" s="55">
        <v>63.38</v>
      </c>
    </row>
    <row r="555" spans="1:10">
      <c r="A555" s="22"/>
      <c r="I555" s="64">
        <v>45982</v>
      </c>
      <c r="J555" s="55">
        <v>62.56</v>
      </c>
    </row>
    <row r="556" spans="1:10">
      <c r="A556" s="22"/>
      <c r="I556" s="64">
        <v>45985</v>
      </c>
      <c r="J556" s="55">
        <v>63.37</v>
      </c>
    </row>
    <row r="557" spans="1:10">
      <c r="A557" s="22"/>
      <c r="I557" s="64">
        <v>45986</v>
      </c>
      <c r="J557" s="55">
        <v>62.48</v>
      </c>
    </row>
    <row r="558" spans="1:10">
      <c r="A558" s="22"/>
      <c r="I558" s="64">
        <v>45987</v>
      </c>
      <c r="J558" s="55">
        <v>63.13</v>
      </c>
    </row>
    <row r="559" spans="1:10">
      <c r="A559" s="22"/>
      <c r="I559" s="64">
        <v>45988</v>
      </c>
      <c r="J559" s="55">
        <v>63.34</v>
      </c>
    </row>
    <row r="560" spans="1:10">
      <c r="A560" s="22"/>
      <c r="I560" s="64">
        <v>45989</v>
      </c>
      <c r="J560" s="55">
        <v>63.2</v>
      </c>
    </row>
    <row r="561" spans="1:9">
      <c r="A561" s="22"/>
      <c r="I561" s="64"/>
    </row>
    <row r="562" spans="1:9">
      <c r="A562" s="22"/>
      <c r="I562" s="64"/>
    </row>
    <row r="563" spans="1:9">
      <c r="A563" s="22"/>
      <c r="I563" s="64"/>
    </row>
    <row r="564" spans="1:9">
      <c r="A564" s="22"/>
      <c r="I564" s="64"/>
    </row>
    <row r="565" spans="1:9">
      <c r="A565" s="22"/>
      <c r="I565" s="64"/>
    </row>
    <row r="566" spans="1:9">
      <c r="A566" s="22"/>
      <c r="I566" s="64"/>
    </row>
    <row r="567" spans="1:9">
      <c r="A567" s="22"/>
      <c r="I567" s="64"/>
    </row>
    <row r="568" spans="1:9">
      <c r="A568" s="22"/>
      <c r="I568" s="64"/>
    </row>
    <row r="569" spans="1:9">
      <c r="A569" s="22"/>
      <c r="I569" s="64"/>
    </row>
    <row r="570" spans="1:9">
      <c r="A570" s="22"/>
      <c r="I570" s="64"/>
    </row>
    <row r="571" spans="1:9">
      <c r="A571" s="22"/>
      <c r="I571" s="64"/>
    </row>
    <row r="572" spans="1:9">
      <c r="A572" s="22"/>
      <c r="I572" s="64"/>
    </row>
    <row r="573" spans="1:9">
      <c r="A573" s="22"/>
      <c r="I573" s="64"/>
    </row>
    <row r="574" spans="1:9">
      <c r="A574" s="22"/>
      <c r="I574" s="64"/>
    </row>
    <row r="575" spans="1:9">
      <c r="A575" s="22"/>
      <c r="I575" s="64"/>
    </row>
    <row r="576" spans="1:9">
      <c r="A576" s="22"/>
    </row>
    <row r="577" spans="1:1">
      <c r="A577" s="22"/>
    </row>
    <row r="578" spans="1:1">
      <c r="A578" s="22"/>
    </row>
    <row r="579" spans="1:1">
      <c r="A579" s="22"/>
    </row>
    <row r="580" spans="1:1">
      <c r="A580" s="22"/>
    </row>
    <row r="581" spans="1:1">
      <c r="A581" s="22"/>
    </row>
    <row r="582" spans="1:1">
      <c r="A582" s="22"/>
    </row>
    <row r="583" spans="1:1">
      <c r="A583" s="22"/>
    </row>
    <row r="584" spans="1:1">
      <c r="A584" s="22"/>
    </row>
    <row r="585" spans="1:1">
      <c r="A585" s="22"/>
    </row>
  </sheetData>
  <sheetProtection algorithmName="SHA-512" hashValue="pw6ddqnmFAkzRzXY8hubJC8WjbWS1+5fnSXCXP7HC2ABLyellru17oTB04Hhm03W8O8sCVZu80RmhAwtnFK81A==" saltValue="04fo+8L+9kufL+ccCr5wng==" spinCount="100000" sheet="1" objects="1" scenarios="1"/>
  <sortState xmlns:xlrd2="http://schemas.microsoft.com/office/spreadsheetml/2017/richdata2" ref="E516:F543">
    <sortCondition ref="E516:E543"/>
  </sortState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79998168889431442"/>
  </sheetPr>
  <dimension ref="A1:O45"/>
  <sheetViews>
    <sheetView workbookViewId="0">
      <pane xSplit="3" ySplit="1" topLeftCell="J2" activePane="bottomRight" state="frozen"/>
      <selection pane="topRight" activeCell="E1" sqref="E1"/>
      <selection pane="bottomLeft" activeCell="A2" sqref="A2"/>
      <selection pane="bottomRight"/>
    </sheetView>
  </sheetViews>
  <sheetFormatPr defaultRowHeight="14.5"/>
  <cols>
    <col min="1" max="1" width="23.6328125" bestFit="1" customWidth="1"/>
    <col min="2" max="2" width="10.6328125" bestFit="1" customWidth="1"/>
    <col min="3" max="3" width="51.90625" bestFit="1" customWidth="1"/>
    <col min="4" max="4" width="11.08984375" customWidth="1"/>
    <col min="5" max="7" width="10.36328125" customWidth="1"/>
    <col min="8" max="8" width="11.26953125" customWidth="1"/>
    <col min="9" max="15" width="10.36328125" customWidth="1"/>
  </cols>
  <sheetData>
    <row r="1" spans="1:15">
      <c r="A1" s="34"/>
      <c r="B1" s="34" t="s">
        <v>0</v>
      </c>
      <c r="C1" s="34" t="s">
        <v>1</v>
      </c>
      <c r="D1" s="38">
        <v>45627</v>
      </c>
      <c r="E1" s="38">
        <v>45658</v>
      </c>
      <c r="F1" s="38">
        <v>45689</v>
      </c>
      <c r="G1" s="38">
        <v>45717</v>
      </c>
      <c r="H1" s="38">
        <v>45748</v>
      </c>
      <c r="I1" s="38">
        <v>45778</v>
      </c>
      <c r="J1" s="38">
        <v>45809</v>
      </c>
      <c r="K1" s="38">
        <v>45839</v>
      </c>
      <c r="L1" s="38">
        <v>45870</v>
      </c>
      <c r="M1" s="38">
        <v>45901</v>
      </c>
      <c r="N1" s="38">
        <v>45931</v>
      </c>
      <c r="O1" s="38">
        <v>45962</v>
      </c>
    </row>
    <row r="2" spans="1:15">
      <c r="A2" t="s">
        <v>2</v>
      </c>
      <c r="B2" s="7"/>
      <c r="C2" s="7" t="s">
        <v>3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>
      <c r="A3" t="s">
        <v>4</v>
      </c>
      <c r="B3" t="s">
        <v>72</v>
      </c>
      <c r="C3" t="s">
        <v>73</v>
      </c>
      <c r="D3" s="3">
        <v>3720000</v>
      </c>
      <c r="E3" s="3">
        <v>3720000</v>
      </c>
      <c r="F3" s="3">
        <v>3360000</v>
      </c>
      <c r="G3" s="3">
        <v>3040000</v>
      </c>
      <c r="H3" s="3">
        <v>3600000</v>
      </c>
      <c r="I3" s="3">
        <v>3720000</v>
      </c>
      <c r="J3" s="3">
        <v>3600000</v>
      </c>
      <c r="K3" s="3">
        <v>3720000</v>
      </c>
      <c r="L3" s="3">
        <v>2728000</v>
      </c>
      <c r="M3" s="3">
        <v>2640000</v>
      </c>
      <c r="N3" s="3">
        <v>2728000</v>
      </c>
      <c r="O3" s="3">
        <v>2640000</v>
      </c>
    </row>
    <row r="4" spans="1:15">
      <c r="A4" t="s">
        <v>26</v>
      </c>
      <c r="B4" t="s">
        <v>74</v>
      </c>
      <c r="C4" t="s">
        <v>75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</row>
    <row r="5" spans="1:15">
      <c r="A5" t="s">
        <v>29</v>
      </c>
      <c r="B5" t="s">
        <v>76</v>
      </c>
      <c r="C5" t="s">
        <v>77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</row>
    <row r="6" spans="1:15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t="s">
        <v>2</v>
      </c>
      <c r="B8" s="7"/>
      <c r="C8" s="7" t="s">
        <v>32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>
      <c r="A9" t="s">
        <v>4</v>
      </c>
      <c r="B9" t="s">
        <v>72</v>
      </c>
      <c r="C9" t="s">
        <v>78</v>
      </c>
      <c r="D9" s="3">
        <v>9262800</v>
      </c>
      <c r="E9" s="3">
        <v>9201859</v>
      </c>
      <c r="F9" s="3">
        <v>8399999</v>
      </c>
      <c r="G9" s="3">
        <v>9241192</v>
      </c>
      <c r="H9" s="3">
        <v>8880388</v>
      </c>
      <c r="I9" s="3">
        <v>9272283</v>
      </c>
      <c r="J9" s="3">
        <v>8905724</v>
      </c>
      <c r="K9" s="3">
        <v>9299999</v>
      </c>
      <c r="L9" s="3">
        <v>6772596</v>
      </c>
      <c r="M9" s="3">
        <v>6465986</v>
      </c>
      <c r="N9" s="3">
        <v>6636485</v>
      </c>
      <c r="O9" s="3">
        <v>5782317</v>
      </c>
    </row>
    <row r="10" spans="1:15">
      <c r="A10" t="s">
        <v>42</v>
      </c>
      <c r="B10" t="s">
        <v>79</v>
      </c>
      <c r="C10" t="s">
        <v>80</v>
      </c>
      <c r="D10" s="3">
        <v>6291262</v>
      </c>
      <c r="E10" s="3">
        <v>5305696</v>
      </c>
      <c r="F10" s="3">
        <v>5497613</v>
      </c>
      <c r="G10" s="3">
        <v>6039362</v>
      </c>
      <c r="H10" s="3">
        <v>4574914</v>
      </c>
      <c r="I10" s="3">
        <v>5046891</v>
      </c>
      <c r="J10" s="3">
        <v>6306820</v>
      </c>
      <c r="K10" s="3">
        <v>6027406</v>
      </c>
      <c r="L10" s="3">
        <v>4096687</v>
      </c>
      <c r="M10" s="3">
        <v>4012842</v>
      </c>
      <c r="N10" s="3">
        <v>3557149</v>
      </c>
      <c r="O10" s="3">
        <v>2536706</v>
      </c>
    </row>
    <row r="11" spans="1:15">
      <c r="A11" t="s">
        <v>26</v>
      </c>
      <c r="B11" t="s">
        <v>81</v>
      </c>
      <c r="C11" t="s">
        <v>82</v>
      </c>
      <c r="D11" s="3">
        <v>199200</v>
      </c>
      <c r="E11" s="3">
        <v>29086</v>
      </c>
      <c r="F11" s="3">
        <v>30680</v>
      </c>
      <c r="G11" s="3">
        <v>160124</v>
      </c>
      <c r="H11" s="3">
        <v>4980</v>
      </c>
      <c r="I11" s="3">
        <v>0</v>
      </c>
      <c r="J11" s="3">
        <v>41597</v>
      </c>
      <c r="K11" s="3">
        <v>343828</v>
      </c>
      <c r="L11" s="3">
        <v>100727</v>
      </c>
      <c r="M11" s="3">
        <v>16731</v>
      </c>
      <c r="N11" s="3">
        <v>0</v>
      </c>
      <c r="O11" s="3">
        <v>0</v>
      </c>
    </row>
    <row r="12" spans="1:15">
      <c r="A12" t="s">
        <v>26</v>
      </c>
      <c r="B12" t="s">
        <v>83</v>
      </c>
      <c r="C12" t="s">
        <v>84</v>
      </c>
      <c r="D12" s="3">
        <v>153368</v>
      </c>
      <c r="E12" s="3">
        <v>0</v>
      </c>
      <c r="F12" s="3">
        <v>0</v>
      </c>
      <c r="G12" s="3">
        <v>26492</v>
      </c>
      <c r="H12" s="3">
        <v>0</v>
      </c>
      <c r="I12" s="3">
        <v>0</v>
      </c>
      <c r="J12" s="3">
        <v>0</v>
      </c>
      <c r="K12" s="3">
        <v>238786</v>
      </c>
      <c r="L12" s="3">
        <v>39026</v>
      </c>
      <c r="M12" s="3">
        <v>0</v>
      </c>
      <c r="N12" s="3">
        <v>0</v>
      </c>
      <c r="O12" s="3">
        <v>0</v>
      </c>
    </row>
    <row r="13" spans="1:15"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>
      <c r="A14" t="s">
        <v>2</v>
      </c>
      <c r="B14" s="7"/>
      <c r="C14" s="7" t="s">
        <v>53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>
      <c r="A15" t="s">
        <v>4</v>
      </c>
      <c r="B15" t="s">
        <v>72</v>
      </c>
      <c r="C15" t="s">
        <v>85</v>
      </c>
      <c r="D15" s="3">
        <v>9579000</v>
      </c>
      <c r="E15" s="3">
        <v>10992600</v>
      </c>
      <c r="F15" s="3">
        <v>9928800</v>
      </c>
      <c r="G15" s="3">
        <v>10992600</v>
      </c>
      <c r="H15" s="3">
        <v>10638000</v>
      </c>
      <c r="I15" s="3">
        <v>10992600</v>
      </c>
      <c r="J15" s="3">
        <v>10638000</v>
      </c>
      <c r="K15" s="3">
        <v>10992600</v>
      </c>
      <c r="L15" s="3">
        <v>8797800</v>
      </c>
      <c r="M15" s="3">
        <v>8514000</v>
      </c>
      <c r="N15" s="3">
        <v>8797800</v>
      </c>
      <c r="O15" s="3">
        <v>8514000</v>
      </c>
    </row>
    <row r="16" spans="1:15">
      <c r="A16" t="s">
        <v>42</v>
      </c>
      <c r="B16" t="s">
        <v>79</v>
      </c>
      <c r="C16" t="s">
        <v>86</v>
      </c>
      <c r="D16" s="3">
        <v>6386000</v>
      </c>
      <c r="E16" s="3">
        <v>2678400</v>
      </c>
      <c r="F16" s="3">
        <v>2419200</v>
      </c>
      <c r="G16" s="3">
        <v>2678400</v>
      </c>
      <c r="H16" s="3">
        <v>2592000</v>
      </c>
      <c r="I16" s="3">
        <v>2678400</v>
      </c>
      <c r="J16" s="3">
        <v>2592000</v>
      </c>
      <c r="K16" s="3">
        <v>2678400</v>
      </c>
      <c r="L16" s="3">
        <v>1215200</v>
      </c>
      <c r="M16" s="3">
        <v>1176000</v>
      </c>
      <c r="N16" s="3">
        <v>1215200</v>
      </c>
      <c r="O16" s="3">
        <v>1176000</v>
      </c>
    </row>
    <row r="17" spans="1:15">
      <c r="A17" t="s">
        <v>26</v>
      </c>
      <c r="B17" t="s">
        <v>81</v>
      </c>
      <c r="C17" t="s">
        <v>87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</row>
    <row r="18" spans="1:15">
      <c r="A18" t="s">
        <v>26</v>
      </c>
      <c r="B18" t="s">
        <v>83</v>
      </c>
      <c r="C18" t="s">
        <v>88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</row>
    <row r="19" spans="1:15"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>
      <c r="A20" t="s">
        <v>2</v>
      </c>
      <c r="B20" s="7"/>
      <c r="C20" s="7" t="s">
        <v>58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>
      <c r="A21" t="s">
        <v>4</v>
      </c>
      <c r="B21" t="s">
        <v>72</v>
      </c>
      <c r="C21" t="s">
        <v>89</v>
      </c>
      <c r="D21" s="3">
        <v>4673287</v>
      </c>
      <c r="E21" s="3">
        <v>4809244</v>
      </c>
      <c r="F21" s="3">
        <v>4571007</v>
      </c>
      <c r="G21" s="3">
        <v>4472583</v>
      </c>
      <c r="H21" s="3">
        <v>4859620</v>
      </c>
      <c r="I21" s="3">
        <v>5446576</v>
      </c>
      <c r="J21" s="3">
        <v>6946096</v>
      </c>
      <c r="K21" s="3">
        <v>6738586</v>
      </c>
      <c r="L21" s="3">
        <v>4313959</v>
      </c>
      <c r="M21" s="3">
        <v>3770875</v>
      </c>
      <c r="N21" s="3">
        <v>3360542</v>
      </c>
      <c r="O21" s="3">
        <v>2741585</v>
      </c>
    </row>
    <row r="22" spans="1:15">
      <c r="A22" t="s">
        <v>42</v>
      </c>
      <c r="B22" t="s">
        <v>79</v>
      </c>
      <c r="C22" t="s">
        <v>90</v>
      </c>
      <c r="D22" s="3">
        <v>1859805</v>
      </c>
      <c r="E22" s="3">
        <v>2647878</v>
      </c>
      <c r="F22" s="3">
        <v>2222644</v>
      </c>
      <c r="G22" s="3">
        <v>2263938</v>
      </c>
      <c r="H22" s="3">
        <v>2727798.727</v>
      </c>
      <c r="I22" s="3">
        <v>2414556</v>
      </c>
      <c r="J22" s="3">
        <v>2768853</v>
      </c>
      <c r="K22" s="3">
        <v>2966404</v>
      </c>
      <c r="L22" s="3">
        <v>1885999</v>
      </c>
      <c r="M22" s="3">
        <v>1889950</v>
      </c>
      <c r="N22" s="3">
        <v>1948500</v>
      </c>
      <c r="O22" s="3">
        <v>1458087</v>
      </c>
    </row>
    <row r="23" spans="1:15">
      <c r="A23" t="s">
        <v>26</v>
      </c>
      <c r="B23" t="s">
        <v>81</v>
      </c>
      <c r="C23" t="s">
        <v>91</v>
      </c>
      <c r="D23" s="3">
        <v>97600</v>
      </c>
      <c r="E23" s="3">
        <v>14827</v>
      </c>
      <c r="F23" s="3">
        <v>16932</v>
      </c>
      <c r="G23" s="3">
        <v>78780</v>
      </c>
      <c r="H23" s="3">
        <v>2659.5360000000001</v>
      </c>
      <c r="I23" s="3">
        <v>0</v>
      </c>
      <c r="J23" s="3">
        <v>20465</v>
      </c>
      <c r="K23" s="3">
        <v>169354</v>
      </c>
      <c r="L23" s="3">
        <v>59467</v>
      </c>
      <c r="M23" s="3">
        <v>7843</v>
      </c>
      <c r="N23" s="3">
        <v>0</v>
      </c>
      <c r="O23" s="3">
        <v>0</v>
      </c>
    </row>
    <row r="24" spans="1:15">
      <c r="A24" t="s">
        <v>26</v>
      </c>
      <c r="B24" t="s">
        <v>83</v>
      </c>
      <c r="C24" t="s">
        <v>92</v>
      </c>
      <c r="D24" s="3">
        <v>75144</v>
      </c>
      <c r="E24" s="3">
        <v>0</v>
      </c>
      <c r="F24" s="3">
        <v>0</v>
      </c>
      <c r="G24" s="3">
        <v>13034</v>
      </c>
      <c r="H24" s="3">
        <v>0</v>
      </c>
      <c r="I24" s="3">
        <v>0</v>
      </c>
      <c r="J24" s="3">
        <v>0</v>
      </c>
      <c r="K24" s="3">
        <v>117482</v>
      </c>
      <c r="L24" s="3">
        <v>19193</v>
      </c>
      <c r="M24" s="3">
        <v>0</v>
      </c>
      <c r="N24" s="3">
        <v>0</v>
      </c>
      <c r="O24" s="3">
        <v>0</v>
      </c>
    </row>
    <row r="25" spans="1:15"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>
      <c r="A26" t="s">
        <v>2</v>
      </c>
      <c r="B26" s="7"/>
      <c r="C26" s="7" t="s">
        <v>71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>
      <c r="A27" t="s">
        <v>4</v>
      </c>
      <c r="B27" t="s">
        <v>72</v>
      </c>
      <c r="C27" t="s">
        <v>95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142222</v>
      </c>
      <c r="N27" s="3">
        <v>194052</v>
      </c>
      <c r="O27" s="3">
        <v>388186</v>
      </c>
    </row>
    <row r="28" spans="1:15">
      <c r="A28" t="s">
        <v>26</v>
      </c>
      <c r="B28" t="s">
        <v>74</v>
      </c>
      <c r="C28" t="s">
        <v>96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</row>
    <row r="29" spans="1:15"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>
      <c r="A30" t="s">
        <v>2</v>
      </c>
      <c r="B30" s="7"/>
      <c r="C30" s="7" t="s">
        <v>311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>
      <c r="A31" t="s">
        <v>4</v>
      </c>
      <c r="B31" t="s">
        <v>72</v>
      </c>
      <c r="C31" t="s">
        <v>93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100374</v>
      </c>
    </row>
    <row r="32" spans="1:15">
      <c r="A32" t="s">
        <v>26</v>
      </c>
      <c r="B32" t="s">
        <v>74</v>
      </c>
      <c r="C32" t="s">
        <v>94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</row>
    <row r="33" spans="1:15"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>
      <c r="A34" t="s">
        <v>2</v>
      </c>
      <c r="B34" s="7"/>
      <c r="C34" s="7" t="s">
        <v>318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>
      <c r="A35" t="s">
        <v>4</v>
      </c>
      <c r="B35" t="s">
        <v>72</v>
      </c>
      <c r="C35" t="s">
        <v>319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48619</v>
      </c>
      <c r="O35" s="3">
        <v>59718</v>
      </c>
    </row>
    <row r="36" spans="1:15"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>
      <c r="A37" t="s">
        <v>4</v>
      </c>
      <c r="B37" t="s">
        <v>97</v>
      </c>
      <c r="C37" t="s">
        <v>98</v>
      </c>
      <c r="D37" s="3">
        <f t="shared" ref="D37:N37" si="0">SUM(D3,D9,D10,D15,D16,D21,D22,D31,D27,D35)</f>
        <v>41772154</v>
      </c>
      <c r="E37" s="3">
        <f t="shared" si="0"/>
        <v>39355677</v>
      </c>
      <c r="F37" s="3">
        <f t="shared" si="0"/>
        <v>36399263</v>
      </c>
      <c r="G37" s="3">
        <f t="shared" si="0"/>
        <v>38728075</v>
      </c>
      <c r="H37" s="3">
        <f t="shared" si="0"/>
        <v>37872720.726999998</v>
      </c>
      <c r="I37" s="3">
        <f t="shared" si="0"/>
        <v>39571306</v>
      </c>
      <c r="J37" s="3">
        <f t="shared" si="0"/>
        <v>41757493</v>
      </c>
      <c r="K37" s="3">
        <f t="shared" si="0"/>
        <v>42423395</v>
      </c>
      <c r="L37" s="3">
        <f t="shared" si="0"/>
        <v>29810241</v>
      </c>
      <c r="M37" s="3">
        <f t="shared" si="0"/>
        <v>28611875</v>
      </c>
      <c r="N37" s="3">
        <f t="shared" si="0"/>
        <v>28486347</v>
      </c>
      <c r="O37" s="3">
        <f t="shared" ref="O37" si="1">SUM(O3,O9,O10,O15,O16,O21,O22,O31,O27,O35)</f>
        <v>25396973</v>
      </c>
    </row>
    <row r="38" spans="1:15">
      <c r="A38" t="s">
        <v>26</v>
      </c>
      <c r="B38" t="s">
        <v>99</v>
      </c>
      <c r="C38" t="s">
        <v>100</v>
      </c>
      <c r="D38" s="3">
        <f t="shared" ref="D38:N38" si="2">SUM(D4,D11:D12,D17:D18,D23:D24,D32,D28)</f>
        <v>525312</v>
      </c>
      <c r="E38" s="3">
        <f t="shared" si="2"/>
        <v>43913</v>
      </c>
      <c r="F38" s="3">
        <f t="shared" si="2"/>
        <v>47612</v>
      </c>
      <c r="G38" s="3">
        <f t="shared" si="2"/>
        <v>278430</v>
      </c>
      <c r="H38" s="3">
        <f t="shared" si="2"/>
        <v>7639.5360000000001</v>
      </c>
      <c r="I38" s="3">
        <f t="shared" si="2"/>
        <v>0</v>
      </c>
      <c r="J38" s="3">
        <f t="shared" si="2"/>
        <v>62062</v>
      </c>
      <c r="K38" s="3">
        <f t="shared" si="2"/>
        <v>869450</v>
      </c>
      <c r="L38" s="3">
        <f t="shared" si="2"/>
        <v>218413</v>
      </c>
      <c r="M38" s="3">
        <f t="shared" si="2"/>
        <v>24574</v>
      </c>
      <c r="N38" s="3">
        <f t="shared" si="2"/>
        <v>0</v>
      </c>
      <c r="O38" s="3">
        <f t="shared" ref="O38" si="3">SUM(O4,O11:O12,O17:O18,O23:O24,O32,O28)</f>
        <v>0</v>
      </c>
    </row>
    <row r="39" spans="1:15">
      <c r="A39" t="s">
        <v>29</v>
      </c>
      <c r="B39" t="s">
        <v>101</v>
      </c>
      <c r="C39" t="s">
        <v>102</v>
      </c>
      <c r="D39" s="3">
        <f t="shared" ref="D39:N39" si="4">SUM(D5)</f>
        <v>0</v>
      </c>
      <c r="E39" s="3">
        <f t="shared" si="4"/>
        <v>0</v>
      </c>
      <c r="F39" s="3">
        <f t="shared" si="4"/>
        <v>0</v>
      </c>
      <c r="G39" s="3">
        <f t="shared" si="4"/>
        <v>0</v>
      </c>
      <c r="H39" s="3">
        <f t="shared" si="4"/>
        <v>0</v>
      </c>
      <c r="I39" s="3">
        <f t="shared" si="4"/>
        <v>0</v>
      </c>
      <c r="J39" s="3">
        <f t="shared" si="4"/>
        <v>0</v>
      </c>
      <c r="K39" s="3">
        <f t="shared" si="4"/>
        <v>0</v>
      </c>
      <c r="L39" s="3">
        <f t="shared" si="4"/>
        <v>0</v>
      </c>
      <c r="M39" s="3">
        <f t="shared" si="4"/>
        <v>0</v>
      </c>
      <c r="N39" s="3">
        <f t="shared" si="4"/>
        <v>0</v>
      </c>
      <c r="O39" s="3">
        <f t="shared" ref="O39" si="5">SUM(O5)</f>
        <v>0</v>
      </c>
    </row>
    <row r="40" spans="1:15">
      <c r="A40" s="34" t="s">
        <v>103</v>
      </c>
      <c r="B40" s="34" t="s">
        <v>104</v>
      </c>
      <c r="C40" s="34" t="s">
        <v>105</v>
      </c>
      <c r="D40" s="37">
        <f t="shared" ref="D40:H40" si="6">SUM(D37:D39)</f>
        <v>42297466</v>
      </c>
      <c r="E40" s="37">
        <f t="shared" si="6"/>
        <v>39399590</v>
      </c>
      <c r="F40" s="37">
        <f t="shared" si="6"/>
        <v>36446875</v>
      </c>
      <c r="G40" s="37">
        <f t="shared" si="6"/>
        <v>39006505</v>
      </c>
      <c r="H40" s="37">
        <f t="shared" si="6"/>
        <v>37880360.262999997</v>
      </c>
      <c r="I40" s="37">
        <f t="shared" ref="I40:N40" si="7">SUM(I37:I39)</f>
        <v>39571306</v>
      </c>
      <c r="J40" s="37">
        <f t="shared" si="7"/>
        <v>41819555</v>
      </c>
      <c r="K40" s="37">
        <f t="shared" ref="K40" si="8">SUM(K37:K39)</f>
        <v>43292845</v>
      </c>
      <c r="L40" s="37">
        <f>SUM(L37:L39)</f>
        <v>30028654</v>
      </c>
      <c r="M40" s="37">
        <f>SUM(M37:M39)</f>
        <v>28636449</v>
      </c>
      <c r="N40" s="37">
        <f t="shared" si="7"/>
        <v>28486347</v>
      </c>
      <c r="O40" s="37">
        <f t="shared" ref="O40" si="9">SUM(O37:O39)</f>
        <v>25396973</v>
      </c>
    </row>
    <row r="41" spans="1:15">
      <c r="D41" s="3"/>
    </row>
    <row r="42" spans="1:15">
      <c r="D42" s="3"/>
    </row>
    <row r="43" spans="1:15">
      <c r="D43" s="3"/>
    </row>
    <row r="44" spans="1:15">
      <c r="D44" s="3"/>
    </row>
    <row r="45" spans="1:15">
      <c r="D45" s="3"/>
    </row>
  </sheetData>
  <sheetProtection algorithmName="SHA-512" hashValue="MG+cLann35QDYS1/NW6MUNE/EFXvwLfdSQgi0Xv+nx0+9tgH+d6pIJSV07DpwhQCZ7+mGOdaIptyNEhWHpMJmA==" saltValue="MjUWl8KyNBstQjKFn3MdFg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79998168889431442"/>
  </sheetPr>
  <dimension ref="A1:P66"/>
  <sheetViews>
    <sheetView workbookViewId="0">
      <pane xSplit="3" ySplit="1" topLeftCell="M29" activePane="bottomRight" state="frozen"/>
      <selection pane="topRight" activeCell="E1" sqref="E1"/>
      <selection pane="bottomLeft" activeCell="A2" sqref="A2"/>
      <selection pane="bottomRight"/>
    </sheetView>
  </sheetViews>
  <sheetFormatPr defaultRowHeight="14.5"/>
  <cols>
    <col min="1" max="1" width="28.6328125" bestFit="1" customWidth="1"/>
    <col min="2" max="2" width="10.90625" bestFit="1" customWidth="1"/>
    <col min="3" max="3" width="58.90625" customWidth="1"/>
    <col min="4" max="4" width="14.36328125" customWidth="1"/>
    <col min="5" max="10" width="13.7265625" bestFit="1" customWidth="1"/>
    <col min="11" max="11" width="14.7265625" bestFit="1" customWidth="1"/>
    <col min="12" max="15" width="13.7265625" bestFit="1" customWidth="1"/>
    <col min="16" max="16" width="12.6328125" bestFit="1" customWidth="1"/>
  </cols>
  <sheetData>
    <row r="1" spans="1:16" s="34" customFormat="1">
      <c r="D1" s="38">
        <v>45627</v>
      </c>
      <c r="E1" s="38">
        <v>45658</v>
      </c>
      <c r="F1" s="38">
        <v>45689</v>
      </c>
      <c r="G1" s="38">
        <v>45717</v>
      </c>
      <c r="H1" s="38">
        <v>45748</v>
      </c>
      <c r="I1" s="38">
        <v>45778</v>
      </c>
      <c r="J1" s="38">
        <v>45809</v>
      </c>
      <c r="K1" s="38">
        <v>45839</v>
      </c>
      <c r="L1" s="38">
        <v>45870</v>
      </c>
      <c r="M1" s="38">
        <v>45901</v>
      </c>
      <c r="N1" s="38">
        <v>45931</v>
      </c>
      <c r="O1" s="38">
        <v>45962</v>
      </c>
    </row>
    <row r="2" spans="1:16">
      <c r="A2" t="s">
        <v>106</v>
      </c>
      <c r="B2" t="s">
        <v>24</v>
      </c>
      <c r="C2" t="s">
        <v>25</v>
      </c>
      <c r="D2" s="23">
        <f>'Preço Gás Adquirido'!D13</f>
        <v>2.3616000000000001</v>
      </c>
      <c r="E2" s="23">
        <f>'Preço Gás Adquirido'!E13</f>
        <v>2.3273999999999999</v>
      </c>
      <c r="F2" s="23">
        <f>'Preço Gás Adquirido'!F13</f>
        <v>2.3059000000000003</v>
      </c>
      <c r="G2" s="23">
        <f>'Preço Gás Adquirido'!G13</f>
        <v>2.3139000000000003</v>
      </c>
      <c r="H2" s="23">
        <f>'Preço Gás Adquirido'!H13</f>
        <v>2.2974000000000006</v>
      </c>
      <c r="I2" s="23">
        <f>'Preço Gás Adquirido'!I13</f>
        <v>2.3271000000000002</v>
      </c>
      <c r="J2" s="23">
        <f>'Preço Gás Adquirido'!J13</f>
        <v>2.3336000000000001</v>
      </c>
      <c r="K2" s="23">
        <f>'Preço Gás Adquirido'!K13</f>
        <v>2.3295000000000003</v>
      </c>
      <c r="L2" s="23">
        <f>'Preço Gás Adquirido'!L13</f>
        <v>2.0466000000000002</v>
      </c>
      <c r="M2" s="23">
        <f>'Preço Gás Adquirido'!M13</f>
        <v>2.0407999999999999</v>
      </c>
      <c r="N2" s="23">
        <f>'Preço Gás Adquirido'!N13</f>
        <v>2.0389999999999997</v>
      </c>
      <c r="O2" s="23">
        <f>'Preço Gás Adquirido'!O13</f>
        <v>2.0120999999999998</v>
      </c>
    </row>
    <row r="3" spans="1:16">
      <c r="A3" t="s">
        <v>106</v>
      </c>
      <c r="B3" t="s">
        <v>72</v>
      </c>
      <c r="C3" t="s">
        <v>73</v>
      </c>
      <c r="D3" s="13">
        <f>'Volume Gás Adquirido'!D3</f>
        <v>3720000</v>
      </c>
      <c r="E3" s="13">
        <f>'Volume Gás Adquirido'!E3</f>
        <v>3720000</v>
      </c>
      <c r="F3" s="13">
        <f>'Volume Gás Adquirido'!F3</f>
        <v>3360000</v>
      </c>
      <c r="G3" s="13">
        <f>'Volume Gás Adquirido'!G3</f>
        <v>3040000</v>
      </c>
      <c r="H3" s="13">
        <f>'Volume Gás Adquirido'!H3</f>
        <v>3600000</v>
      </c>
      <c r="I3" s="13">
        <f>'Volume Gás Adquirido'!I3</f>
        <v>3720000</v>
      </c>
      <c r="J3" s="13">
        <f>'Volume Gás Adquirido'!J3</f>
        <v>3600000</v>
      </c>
      <c r="K3" s="13">
        <f>'Volume Gás Adquirido'!K3</f>
        <v>3720000</v>
      </c>
      <c r="L3" s="13">
        <f>'Volume Gás Adquirido'!L3</f>
        <v>2728000</v>
      </c>
      <c r="M3" s="13">
        <f>'Volume Gás Adquirido'!M3</f>
        <v>2640000</v>
      </c>
      <c r="N3" s="13">
        <f>'Volume Gás Adquirido'!N3</f>
        <v>2728000</v>
      </c>
      <c r="O3" s="13">
        <f>'Volume Gás Adquirido'!O3</f>
        <v>2640000</v>
      </c>
    </row>
    <row r="4" spans="1:16" s="7" customFormat="1">
      <c r="A4" s="34" t="s">
        <v>106</v>
      </c>
      <c r="B4" s="7" t="s">
        <v>107</v>
      </c>
      <c r="C4" s="7" t="s">
        <v>108</v>
      </c>
      <c r="D4" s="14">
        <f t="shared" ref="D4:G4" si="0">D2*D3</f>
        <v>8785152</v>
      </c>
      <c r="E4" s="14">
        <f t="shared" si="0"/>
        <v>8657928</v>
      </c>
      <c r="F4" s="14">
        <f t="shared" si="0"/>
        <v>7747824.0000000009</v>
      </c>
      <c r="G4" s="14">
        <f t="shared" si="0"/>
        <v>7034256.0000000009</v>
      </c>
      <c r="H4" s="14">
        <f t="shared" ref="H4:I4" si="1">H2*H3</f>
        <v>8270640.0000000019</v>
      </c>
      <c r="I4" s="14">
        <f t="shared" si="1"/>
        <v>8656812</v>
      </c>
      <c r="J4" s="14">
        <f t="shared" ref="J4:K4" si="2">J2*J3</f>
        <v>8400960</v>
      </c>
      <c r="K4" s="14">
        <f t="shared" si="2"/>
        <v>8665740.0000000019</v>
      </c>
      <c r="L4" s="14">
        <f t="shared" ref="L4:M4" si="3">L2*L3</f>
        <v>5583124.8000000007</v>
      </c>
      <c r="M4" s="14">
        <f t="shared" si="3"/>
        <v>5387712</v>
      </c>
      <c r="N4" s="14">
        <f t="shared" ref="N4:O4" si="4">N2*N3</f>
        <v>5562391.9999999991</v>
      </c>
      <c r="O4" s="14">
        <f t="shared" si="4"/>
        <v>5311943.9999999991</v>
      </c>
      <c r="P4" s="21"/>
    </row>
    <row r="5" spans="1:16">
      <c r="A5" t="s">
        <v>106</v>
      </c>
      <c r="B5" t="s">
        <v>24</v>
      </c>
      <c r="C5" t="s">
        <v>41</v>
      </c>
      <c r="D5" s="23">
        <f>'Preço Gás Adquirido'!D28</f>
        <v>2.3071999999999999</v>
      </c>
      <c r="E5" s="23">
        <f>'Preço Gás Adquirido'!E28</f>
        <v>2.3071999999999999</v>
      </c>
      <c r="F5" s="23">
        <f>'Preço Gás Adquirido'!F28</f>
        <v>2.2669999999999999</v>
      </c>
      <c r="G5" s="23">
        <f>'Preço Gás Adquirido'!G28</f>
        <v>2.2669999999999999</v>
      </c>
      <c r="H5" s="23">
        <f>'Preço Gás Adquirido'!H28</f>
        <v>2.2669999999999999</v>
      </c>
      <c r="I5" s="23">
        <f>'Preço Gás Adquirido'!I28</f>
        <v>2.3296999999999999</v>
      </c>
      <c r="J5" s="23">
        <f>'Preço Gás Adquirido'!J28</f>
        <v>2.3296999999999999</v>
      </c>
      <c r="K5" s="23">
        <f>'Preço Gás Adquirido'!K28</f>
        <v>2.3296999999999999</v>
      </c>
      <c r="L5" s="23">
        <f>'Preço Gás Adquirido'!L28</f>
        <v>2.0764</v>
      </c>
      <c r="M5" s="23">
        <f>'Preço Gás Adquirido'!M28</f>
        <v>2.0764</v>
      </c>
      <c r="N5" s="23">
        <f>'Preço Gás Adquirido'!N28</f>
        <v>2.0764</v>
      </c>
      <c r="O5" s="23">
        <f>'Preço Gás Adquirido'!O28</f>
        <v>2.0419</v>
      </c>
    </row>
    <row r="6" spans="1:16">
      <c r="A6" t="s">
        <v>106</v>
      </c>
      <c r="B6" t="s">
        <v>72</v>
      </c>
      <c r="C6" t="s">
        <v>78</v>
      </c>
      <c r="D6" s="13">
        <f>'Volume Gás Adquirido'!D9</f>
        <v>9262800</v>
      </c>
      <c r="E6" s="13">
        <f>'Volume Gás Adquirido'!E9</f>
        <v>9201859</v>
      </c>
      <c r="F6" s="13">
        <f>'Volume Gás Adquirido'!F9</f>
        <v>8399999</v>
      </c>
      <c r="G6" s="13">
        <f>'Volume Gás Adquirido'!G9</f>
        <v>9241192</v>
      </c>
      <c r="H6" s="13">
        <f>'Volume Gás Adquirido'!H9</f>
        <v>8880388</v>
      </c>
      <c r="I6" s="13">
        <f>'Volume Gás Adquirido'!I9</f>
        <v>9272283</v>
      </c>
      <c r="J6" s="13">
        <f>'Volume Gás Adquirido'!J9</f>
        <v>8905724</v>
      </c>
      <c r="K6" s="13">
        <f>'Volume Gás Adquirido'!K9</f>
        <v>9299999</v>
      </c>
      <c r="L6" s="13">
        <f>'Volume Gás Adquirido'!L9</f>
        <v>6772596</v>
      </c>
      <c r="M6" s="13">
        <f>'Volume Gás Adquirido'!M9</f>
        <v>6465986</v>
      </c>
      <c r="N6" s="13">
        <f>'Volume Gás Adquirido'!N9</f>
        <v>6636485</v>
      </c>
      <c r="O6" s="13">
        <f>'Volume Gás Adquirido'!O9</f>
        <v>5782317</v>
      </c>
    </row>
    <row r="7" spans="1:16" s="7" customFormat="1">
      <c r="A7" s="34" t="s">
        <v>106</v>
      </c>
      <c r="B7" s="7" t="s">
        <v>107</v>
      </c>
      <c r="C7" s="7" t="s">
        <v>109</v>
      </c>
      <c r="D7" s="14">
        <f t="shared" ref="D7:G7" si="5">D5*D6</f>
        <v>21371132.16</v>
      </c>
      <c r="E7" s="14">
        <f t="shared" si="5"/>
        <v>21230529.084799998</v>
      </c>
      <c r="F7" s="14">
        <f t="shared" si="5"/>
        <v>19042797.732999999</v>
      </c>
      <c r="G7" s="14">
        <f t="shared" si="5"/>
        <v>20949782.263999999</v>
      </c>
      <c r="H7" s="14">
        <f t="shared" ref="H7:I7" si="6">H5*H6</f>
        <v>20131839.596000001</v>
      </c>
      <c r="I7" s="14">
        <f t="shared" si="6"/>
        <v>21601637.7051</v>
      </c>
      <c r="J7" s="14">
        <f t="shared" ref="J7:K7" si="7">J5*J6</f>
        <v>20747665.202799998</v>
      </c>
      <c r="K7" s="14">
        <f t="shared" si="7"/>
        <v>21666207.670299999</v>
      </c>
      <c r="L7" s="14">
        <f t="shared" ref="L7:M7" si="8">L5*L6</f>
        <v>14062618.3344</v>
      </c>
      <c r="M7" s="14">
        <f t="shared" si="8"/>
        <v>13425973.330399999</v>
      </c>
      <c r="N7" s="14">
        <f t="shared" ref="N7:O7" si="9">N5*N6</f>
        <v>13779997.454</v>
      </c>
      <c r="O7" s="14">
        <f t="shared" si="9"/>
        <v>11806913.0823</v>
      </c>
    </row>
    <row r="8" spans="1:16" s="7" customFormat="1">
      <c r="A8" t="s">
        <v>110</v>
      </c>
      <c r="B8" s="35" t="s">
        <v>47</v>
      </c>
      <c r="C8" t="s">
        <v>48</v>
      </c>
      <c r="D8" s="23">
        <f>'Preço Gás Adquirido'!D31</f>
        <v>2.2075</v>
      </c>
      <c r="E8" s="23">
        <f>'Preço Gás Adquirido'!E31</f>
        <v>2.2075</v>
      </c>
      <c r="F8" s="23">
        <f>'Preço Gás Adquirido'!F31</f>
        <v>2.1694</v>
      </c>
      <c r="G8" s="23">
        <f>'Preço Gás Adquirido'!G31</f>
        <v>2.1694</v>
      </c>
      <c r="H8" s="23">
        <f>'Preço Gás Adquirido'!H31</f>
        <v>2.1694</v>
      </c>
      <c r="I8" s="23">
        <f>'Preço Gás Adquirido'!I31</f>
        <v>2.2305999999999999</v>
      </c>
      <c r="J8" s="23">
        <f>'Preço Gás Adquirido'!J31</f>
        <v>2.2305999999999999</v>
      </c>
      <c r="K8" s="23">
        <f>'Preço Gás Adquirido'!K31</f>
        <v>2.2305999999999999</v>
      </c>
      <c r="L8" s="23">
        <f>'Preço Gás Adquirido'!L31</f>
        <v>1.9904000000000002</v>
      </c>
      <c r="M8" s="23">
        <f>'Preço Gás Adquirido'!M31</f>
        <v>1.9904000000000002</v>
      </c>
      <c r="N8" s="23">
        <f>'Preço Gás Adquirido'!N31</f>
        <v>1.9904000000000002</v>
      </c>
      <c r="O8" s="23">
        <f>'Preço Gás Adquirido'!O31</f>
        <v>1.9576000000000002</v>
      </c>
    </row>
    <row r="9" spans="1:16" s="7" customFormat="1">
      <c r="A9" t="s">
        <v>110</v>
      </c>
      <c r="B9" s="35" t="s">
        <v>79</v>
      </c>
      <c r="C9" t="s">
        <v>111</v>
      </c>
      <c r="D9" s="13">
        <f>'Volume Gás Adquirido'!D10</f>
        <v>6291262</v>
      </c>
      <c r="E9" s="13">
        <f>'Volume Gás Adquirido'!E10</f>
        <v>5305696</v>
      </c>
      <c r="F9" s="13">
        <f>'Volume Gás Adquirido'!F10</f>
        <v>5497613</v>
      </c>
      <c r="G9" s="13">
        <f>'Volume Gás Adquirido'!G10</f>
        <v>6039362</v>
      </c>
      <c r="H9" s="13">
        <f>'Volume Gás Adquirido'!H10</f>
        <v>4574914</v>
      </c>
      <c r="I9" s="13">
        <f>'Volume Gás Adquirido'!I10</f>
        <v>5046891</v>
      </c>
      <c r="J9" s="13">
        <f>'Volume Gás Adquirido'!J10</f>
        <v>6306820</v>
      </c>
      <c r="K9" s="13">
        <f>'Volume Gás Adquirido'!K10</f>
        <v>6027406</v>
      </c>
      <c r="L9" s="13">
        <f>'Volume Gás Adquirido'!L10</f>
        <v>4096687</v>
      </c>
      <c r="M9" s="13">
        <f>'Volume Gás Adquirido'!M10</f>
        <v>4012842</v>
      </c>
      <c r="N9" s="13">
        <f>'Volume Gás Adquirido'!N10</f>
        <v>3557149</v>
      </c>
      <c r="O9" s="13">
        <f>'Volume Gás Adquirido'!O10</f>
        <v>2536706</v>
      </c>
    </row>
    <row r="10" spans="1:16" s="7" customFormat="1">
      <c r="A10" s="34" t="s">
        <v>110</v>
      </c>
      <c r="B10" s="7" t="s">
        <v>112</v>
      </c>
      <c r="C10" s="7" t="s">
        <v>113</v>
      </c>
      <c r="D10" s="14">
        <f t="shared" ref="D10" si="10">D9*D8</f>
        <v>13887960.865</v>
      </c>
      <c r="E10" s="14">
        <f t="shared" ref="E10:G10" si="11">E9*E8</f>
        <v>11712323.92</v>
      </c>
      <c r="F10" s="14">
        <f t="shared" si="11"/>
        <v>11926521.642200001</v>
      </c>
      <c r="G10" s="14">
        <f t="shared" si="11"/>
        <v>13101791.922800001</v>
      </c>
      <c r="H10" s="14">
        <f t="shared" ref="H10:I10" si="12">H9*H8</f>
        <v>9924818.4316000007</v>
      </c>
      <c r="I10" s="14">
        <f t="shared" si="12"/>
        <v>11257595.0646</v>
      </c>
      <c r="J10" s="14">
        <f t="shared" ref="J10:K10" si="13">J9*J8</f>
        <v>14067992.692</v>
      </c>
      <c r="K10" s="14">
        <f t="shared" si="13"/>
        <v>13444731.8236</v>
      </c>
      <c r="L10" s="14">
        <f t="shared" ref="L10:M10" si="14">L9*L8</f>
        <v>8154045.804800001</v>
      </c>
      <c r="M10" s="14">
        <f t="shared" si="14"/>
        <v>7987160.7168000005</v>
      </c>
      <c r="N10" s="14">
        <f t="shared" ref="N10:O10" si="15">N9*N8</f>
        <v>7080149.3696000008</v>
      </c>
      <c r="O10" s="14">
        <f t="shared" si="15"/>
        <v>4965855.6656000009</v>
      </c>
    </row>
    <row r="11" spans="1:16">
      <c r="A11" t="s">
        <v>106</v>
      </c>
      <c r="B11" t="s">
        <v>24</v>
      </c>
      <c r="C11" t="s">
        <v>54</v>
      </c>
      <c r="D11" s="23">
        <f>'Preço Gás Adquirido'!D46</f>
        <v>2.2315</v>
      </c>
      <c r="E11" s="23">
        <f>'Preço Gás Adquirido'!E46</f>
        <v>2.2500999999999998</v>
      </c>
      <c r="F11" s="23">
        <f>'Preço Gás Adquirido'!F46</f>
        <v>2.2302</v>
      </c>
      <c r="G11" s="23">
        <f>'Preço Gás Adquirido'!G46</f>
        <v>2.2302</v>
      </c>
      <c r="H11" s="23">
        <f>'Preço Gás Adquirido'!H46</f>
        <v>2.2302</v>
      </c>
      <c r="I11" s="23">
        <f>'Preço Gás Adquirido'!I46</f>
        <v>2.2603</v>
      </c>
      <c r="J11" s="23">
        <f>'Preço Gás Adquirido'!J46</f>
        <v>2.2603</v>
      </c>
      <c r="K11" s="23">
        <f>'Preço Gás Adquirido'!K46</f>
        <v>2.2603</v>
      </c>
      <c r="L11" s="23">
        <f>'Preço Gás Adquirido'!L46</f>
        <v>1.9904999999999999</v>
      </c>
      <c r="M11" s="23">
        <f>'Preço Gás Adquirido'!M46</f>
        <v>1.9904999999999999</v>
      </c>
      <c r="N11" s="23">
        <f>'Preço Gás Adquirido'!N46</f>
        <v>1.9904999999999999</v>
      </c>
      <c r="O11" s="23">
        <f>'Preço Gás Adquirido'!O46</f>
        <v>1.9613</v>
      </c>
    </row>
    <row r="12" spans="1:16">
      <c r="A12" t="s">
        <v>106</v>
      </c>
      <c r="B12" t="s">
        <v>72</v>
      </c>
      <c r="C12" t="s">
        <v>85</v>
      </c>
      <c r="D12" s="13">
        <f>'Volume Gás Adquirido'!D15</f>
        <v>9579000</v>
      </c>
      <c r="E12" s="13">
        <f>'Volume Gás Adquirido'!E15</f>
        <v>10992600</v>
      </c>
      <c r="F12" s="13">
        <f>'Volume Gás Adquirido'!F15</f>
        <v>9928800</v>
      </c>
      <c r="G12" s="13">
        <f>'Volume Gás Adquirido'!G15</f>
        <v>10992600</v>
      </c>
      <c r="H12" s="13">
        <f>'Volume Gás Adquirido'!H15</f>
        <v>10638000</v>
      </c>
      <c r="I12" s="13">
        <f>'Volume Gás Adquirido'!I15</f>
        <v>10992600</v>
      </c>
      <c r="J12" s="13">
        <f>'Volume Gás Adquirido'!J15</f>
        <v>10638000</v>
      </c>
      <c r="K12" s="13">
        <f>'Volume Gás Adquirido'!K15</f>
        <v>10992600</v>
      </c>
      <c r="L12" s="13">
        <f>'Volume Gás Adquirido'!L15</f>
        <v>8797800</v>
      </c>
      <c r="M12" s="13">
        <f>'Volume Gás Adquirido'!M15</f>
        <v>8514000</v>
      </c>
      <c r="N12" s="13">
        <f>'Volume Gás Adquirido'!N15</f>
        <v>8797800</v>
      </c>
      <c r="O12" s="13">
        <f>'Volume Gás Adquirido'!O15</f>
        <v>8514000</v>
      </c>
    </row>
    <row r="13" spans="1:16" s="7" customFormat="1">
      <c r="A13" s="34" t="s">
        <v>106</v>
      </c>
      <c r="B13" s="7" t="s">
        <v>107</v>
      </c>
      <c r="C13" s="7" t="s">
        <v>114</v>
      </c>
      <c r="D13" s="14">
        <f t="shared" ref="D13:G13" si="16">D11*D12</f>
        <v>21375538.5</v>
      </c>
      <c r="E13" s="14">
        <f t="shared" si="16"/>
        <v>24734449.259999998</v>
      </c>
      <c r="F13" s="14">
        <f t="shared" si="16"/>
        <v>22143209.759999998</v>
      </c>
      <c r="G13" s="14">
        <f t="shared" si="16"/>
        <v>24515696.52</v>
      </c>
      <c r="H13" s="14">
        <f t="shared" ref="H13:I13" si="17">H11*H12</f>
        <v>23724867.599999998</v>
      </c>
      <c r="I13" s="14">
        <f t="shared" si="17"/>
        <v>24846573.780000001</v>
      </c>
      <c r="J13" s="14">
        <f t="shared" ref="J13:K13" si="18">J11*J12</f>
        <v>24045071.399999999</v>
      </c>
      <c r="K13" s="14">
        <f t="shared" si="18"/>
        <v>24846573.780000001</v>
      </c>
      <c r="L13" s="14">
        <f t="shared" ref="L13:M13" si="19">L11*L12</f>
        <v>17512020.899999999</v>
      </c>
      <c r="M13" s="14">
        <f t="shared" si="19"/>
        <v>16947117</v>
      </c>
      <c r="N13" s="14">
        <f t="shared" ref="N13:O13" si="20">N11*N12</f>
        <v>17512020.899999999</v>
      </c>
      <c r="O13" s="14">
        <f t="shared" si="20"/>
        <v>16698508.200000001</v>
      </c>
    </row>
    <row r="14" spans="1:16" s="7" customFormat="1">
      <c r="A14" t="s">
        <v>110</v>
      </c>
      <c r="B14" s="35" t="s">
        <v>47</v>
      </c>
      <c r="C14" t="s">
        <v>55</v>
      </c>
      <c r="D14" s="23">
        <f>'Preço Gás Adquirido'!D49</f>
        <v>2.0848999999999998</v>
      </c>
      <c r="E14" s="23">
        <f>'Preço Gás Adquirido'!E49</f>
        <v>2.1034999999999999</v>
      </c>
      <c r="F14" s="23">
        <f>'Preço Gás Adquirido'!F49</f>
        <v>2.0851999999999999</v>
      </c>
      <c r="G14" s="23">
        <f>'Preço Gás Adquirido'!G49</f>
        <v>2.0851999999999999</v>
      </c>
      <c r="H14" s="23">
        <f>'Preço Gás Adquirido'!H49</f>
        <v>2.0851999999999999</v>
      </c>
      <c r="I14" s="23">
        <f>'Preço Gás Adquirido'!I49</f>
        <v>2.113</v>
      </c>
      <c r="J14" s="23">
        <f>'Preço Gás Adquirido'!J49</f>
        <v>2.113</v>
      </c>
      <c r="K14" s="23">
        <f>'Preço Gás Adquirido'!K49</f>
        <v>2.113</v>
      </c>
      <c r="L14" s="23">
        <f>'Preço Gás Adquirido'!L49</f>
        <v>1.8635999999999999</v>
      </c>
      <c r="M14" s="23">
        <f>'Preço Gás Adquirido'!M49</f>
        <v>1.8635999999999999</v>
      </c>
      <c r="N14" s="23">
        <f>'Preço Gás Adquirido'!N49</f>
        <v>1.8635999999999999</v>
      </c>
      <c r="O14" s="23">
        <f>'Preço Gás Adquirido'!O49</f>
        <v>1.8366</v>
      </c>
    </row>
    <row r="15" spans="1:16" s="7" customFormat="1">
      <c r="A15" t="s">
        <v>110</v>
      </c>
      <c r="B15" s="35" t="s">
        <v>79</v>
      </c>
      <c r="C15" t="s">
        <v>115</v>
      </c>
      <c r="D15" s="13">
        <f>'Volume Gás Adquirido'!D16</f>
        <v>6386000</v>
      </c>
      <c r="E15" s="13">
        <f>'Volume Gás Adquirido'!E16</f>
        <v>2678400</v>
      </c>
      <c r="F15" s="13">
        <f>'Volume Gás Adquirido'!F16</f>
        <v>2419200</v>
      </c>
      <c r="G15" s="13">
        <f>'Volume Gás Adquirido'!G16</f>
        <v>2678400</v>
      </c>
      <c r="H15" s="13">
        <f>'Volume Gás Adquirido'!H16</f>
        <v>2592000</v>
      </c>
      <c r="I15" s="13">
        <f>'Volume Gás Adquirido'!I16</f>
        <v>2678400</v>
      </c>
      <c r="J15" s="13">
        <f>'Volume Gás Adquirido'!J16</f>
        <v>2592000</v>
      </c>
      <c r="K15" s="13">
        <f>'Volume Gás Adquirido'!K16</f>
        <v>2678400</v>
      </c>
      <c r="L15" s="13">
        <f>'Volume Gás Adquirido'!L16</f>
        <v>1215200</v>
      </c>
      <c r="M15" s="13">
        <f>'Volume Gás Adquirido'!M16</f>
        <v>1176000</v>
      </c>
      <c r="N15" s="13">
        <f>'Volume Gás Adquirido'!N16</f>
        <v>1215200</v>
      </c>
      <c r="O15" s="13">
        <f>'Volume Gás Adquirido'!O16</f>
        <v>1176000</v>
      </c>
    </row>
    <row r="16" spans="1:16" s="7" customFormat="1">
      <c r="A16" s="34" t="s">
        <v>110</v>
      </c>
      <c r="B16" s="7" t="s">
        <v>112</v>
      </c>
      <c r="C16" s="7" t="s">
        <v>116</v>
      </c>
      <c r="D16" s="14">
        <f t="shared" ref="D16" si="21">D15*D14</f>
        <v>13314171.399999999</v>
      </c>
      <c r="E16" s="14">
        <f t="shared" ref="E16:G16" si="22">E15*E14</f>
        <v>5634014.3999999994</v>
      </c>
      <c r="F16" s="14">
        <f t="shared" si="22"/>
        <v>5044515.84</v>
      </c>
      <c r="G16" s="14">
        <f t="shared" si="22"/>
        <v>5584999.6799999997</v>
      </c>
      <c r="H16" s="14">
        <f t="shared" ref="H16:I16" si="23">H15*H14</f>
        <v>5404838.3999999994</v>
      </c>
      <c r="I16" s="14">
        <f t="shared" si="23"/>
        <v>5659459.2000000002</v>
      </c>
      <c r="J16" s="14">
        <f t="shared" ref="J16:K16" si="24">J15*J14</f>
        <v>5476896</v>
      </c>
      <c r="K16" s="14">
        <f t="shared" si="24"/>
        <v>5659459.2000000002</v>
      </c>
      <c r="L16" s="14">
        <f t="shared" ref="L16:M16" si="25">L15*L14</f>
        <v>2264646.7199999997</v>
      </c>
      <c r="M16" s="14">
        <f t="shared" si="25"/>
        <v>2191593.6</v>
      </c>
      <c r="N16" s="14">
        <f t="shared" ref="N16:O16" si="26">N15*N14</f>
        <v>2264646.7199999997</v>
      </c>
      <c r="O16" s="14">
        <f t="shared" si="26"/>
        <v>2159841.6</v>
      </c>
    </row>
    <row r="17" spans="1:15">
      <c r="A17" t="s">
        <v>106</v>
      </c>
      <c r="B17" t="s">
        <v>24</v>
      </c>
      <c r="C17" t="s">
        <v>59</v>
      </c>
      <c r="D17" s="23">
        <f>'Preço Gás Adquirido'!D64</f>
        <v>2.4798</v>
      </c>
      <c r="E17" s="23">
        <f>'Preço Gás Adquirido'!E64</f>
        <v>2.4798</v>
      </c>
      <c r="F17" s="23">
        <f>'Preço Gás Adquirido'!F64</f>
        <v>2.4583000000000004</v>
      </c>
      <c r="G17" s="23">
        <f>'Preço Gás Adquirido'!G64</f>
        <v>2.4583000000000004</v>
      </c>
      <c r="H17" s="23">
        <f>'Preço Gás Adquirido'!H64</f>
        <v>2.4583000000000004</v>
      </c>
      <c r="I17" s="23">
        <f>'Preço Gás Adquirido'!I64</f>
        <v>2.5235000000000003</v>
      </c>
      <c r="J17" s="23">
        <f>'Preço Gás Adquirido'!J64</f>
        <v>2.5235000000000003</v>
      </c>
      <c r="K17" s="23">
        <f>'Preço Gás Adquirido'!K64</f>
        <v>2.5235000000000003</v>
      </c>
      <c r="L17" s="23">
        <f>'Preço Gás Adquirido'!L64</f>
        <v>2.2309999999999999</v>
      </c>
      <c r="M17" s="23">
        <f>'Preço Gás Adquirido'!M64</f>
        <v>2.2309999999999999</v>
      </c>
      <c r="N17" s="23">
        <f>'Preço Gás Adquirido'!N64</f>
        <v>2.2309999999999999</v>
      </c>
      <c r="O17" s="23">
        <f>'Preço Gás Adquirido'!O64</f>
        <v>2.1994000000000002</v>
      </c>
    </row>
    <row r="18" spans="1:15">
      <c r="A18" t="s">
        <v>106</v>
      </c>
      <c r="B18" t="s">
        <v>72</v>
      </c>
      <c r="C18" t="s">
        <v>89</v>
      </c>
      <c r="D18" s="13">
        <f>'Volume Gás Adquirido'!D21</f>
        <v>4673287</v>
      </c>
      <c r="E18" s="13">
        <f>'Volume Gás Adquirido'!E21</f>
        <v>4809244</v>
      </c>
      <c r="F18" s="13">
        <f>'Volume Gás Adquirido'!F21</f>
        <v>4571007</v>
      </c>
      <c r="G18" s="13">
        <f>'Volume Gás Adquirido'!G21</f>
        <v>4472583</v>
      </c>
      <c r="H18" s="13">
        <f>'Volume Gás Adquirido'!H21</f>
        <v>4859620</v>
      </c>
      <c r="I18" s="13">
        <f>'Volume Gás Adquirido'!I21</f>
        <v>5446576</v>
      </c>
      <c r="J18" s="13">
        <f>'Volume Gás Adquirido'!J21</f>
        <v>6946096</v>
      </c>
      <c r="K18" s="13">
        <f>'Volume Gás Adquirido'!K21</f>
        <v>6738586</v>
      </c>
      <c r="L18" s="13">
        <f>'Volume Gás Adquirido'!L21</f>
        <v>4313959</v>
      </c>
      <c r="M18" s="13">
        <f>'Volume Gás Adquirido'!M21</f>
        <v>3770875</v>
      </c>
      <c r="N18" s="13">
        <f>'Volume Gás Adquirido'!N21</f>
        <v>3360542</v>
      </c>
      <c r="O18" s="13">
        <f>'Volume Gás Adquirido'!O21</f>
        <v>2741585</v>
      </c>
    </row>
    <row r="19" spans="1:15" s="7" customFormat="1">
      <c r="A19" s="34" t="s">
        <v>106</v>
      </c>
      <c r="B19" s="7" t="s">
        <v>107</v>
      </c>
      <c r="C19" s="7" t="s">
        <v>117</v>
      </c>
      <c r="D19" s="14">
        <f t="shared" ref="D19:G19" si="27">D17*D18</f>
        <v>11588817.102600001</v>
      </c>
      <c r="E19" s="14">
        <f t="shared" si="27"/>
        <v>11925963.271199999</v>
      </c>
      <c r="F19" s="14">
        <f t="shared" si="27"/>
        <v>11236906.508100001</v>
      </c>
      <c r="G19" s="14">
        <f t="shared" si="27"/>
        <v>10994950.788900001</v>
      </c>
      <c r="H19" s="14">
        <f t="shared" ref="H19:I19" si="28">H17*H18</f>
        <v>11946403.846000003</v>
      </c>
      <c r="I19" s="14">
        <f t="shared" si="28"/>
        <v>13744434.536000002</v>
      </c>
      <c r="J19" s="14">
        <f t="shared" ref="J19:K19" si="29">J17*J18</f>
        <v>17528473.256000001</v>
      </c>
      <c r="K19" s="14">
        <f t="shared" si="29"/>
        <v>17004821.771000002</v>
      </c>
      <c r="L19" s="14">
        <f t="shared" ref="L19:M19" si="30">L17*L18</f>
        <v>9624442.5289999992</v>
      </c>
      <c r="M19" s="14">
        <f t="shared" si="30"/>
        <v>8412822.125</v>
      </c>
      <c r="N19" s="14">
        <f t="shared" ref="N19:O19" si="31">N17*N18</f>
        <v>7497369.2019999996</v>
      </c>
      <c r="O19" s="14">
        <f t="shared" si="31"/>
        <v>6029842.0490000006</v>
      </c>
    </row>
    <row r="20" spans="1:15" s="7" customFormat="1">
      <c r="A20" t="s">
        <v>110</v>
      </c>
      <c r="B20" s="35" t="s">
        <v>47</v>
      </c>
      <c r="C20" t="s">
        <v>60</v>
      </c>
      <c r="D20" s="23">
        <f>'Preço Gás Adquirido'!D67</f>
        <v>2.1703999999999999</v>
      </c>
      <c r="E20" s="23">
        <f>'Preço Gás Adquirido'!E67</f>
        <v>2.1703999999999999</v>
      </c>
      <c r="F20" s="23">
        <f>'Preço Gás Adquirido'!F67</f>
        <v>2.1520999999999999</v>
      </c>
      <c r="G20" s="23">
        <f>'Preço Gás Adquirido'!G67</f>
        <v>2.1520999999999999</v>
      </c>
      <c r="H20" s="23">
        <f>'Preço Gás Adquirido'!H67</f>
        <v>2.1520999999999999</v>
      </c>
      <c r="I20" s="23">
        <f>'Preço Gás Adquirido'!I67</f>
        <v>2.2124999999999999</v>
      </c>
      <c r="J20" s="23">
        <f>'Preço Gás Adquirido'!J67</f>
        <v>2.2124999999999999</v>
      </c>
      <c r="K20" s="23">
        <f>'Preço Gás Adquirido'!K67</f>
        <v>2.2124999999999999</v>
      </c>
      <c r="L20" s="23">
        <f>'Preço Gás Adquirido'!L67</f>
        <v>1.9630999999999998</v>
      </c>
      <c r="M20" s="23">
        <f>'Preço Gás Adquirido'!M67</f>
        <v>1.9630999999999998</v>
      </c>
      <c r="N20" s="23">
        <f>'Preço Gás Adquirido'!N67</f>
        <v>1.9630999999999998</v>
      </c>
      <c r="O20" s="23">
        <f>'Preço Gás Adquirido'!O67</f>
        <v>1.9361000000000002</v>
      </c>
    </row>
    <row r="21" spans="1:15" s="7" customFormat="1">
      <c r="A21" t="s">
        <v>110</v>
      </c>
      <c r="B21" s="35" t="s">
        <v>79</v>
      </c>
      <c r="C21" t="s">
        <v>118</v>
      </c>
      <c r="D21" s="13">
        <f>'Volume Gás Adquirido'!D22</f>
        <v>1859805</v>
      </c>
      <c r="E21" s="13">
        <f>'Volume Gás Adquirido'!E22</f>
        <v>2647878</v>
      </c>
      <c r="F21" s="13">
        <f>'Volume Gás Adquirido'!F22</f>
        <v>2222644</v>
      </c>
      <c r="G21" s="13">
        <f>'Volume Gás Adquirido'!G22</f>
        <v>2263938</v>
      </c>
      <c r="H21" s="13">
        <f>'Volume Gás Adquirido'!H22</f>
        <v>2727798.727</v>
      </c>
      <c r="I21" s="13">
        <f>'Volume Gás Adquirido'!I22</f>
        <v>2414556</v>
      </c>
      <c r="J21" s="13">
        <f>'Volume Gás Adquirido'!J22</f>
        <v>2768853</v>
      </c>
      <c r="K21" s="13">
        <f>'Volume Gás Adquirido'!K22</f>
        <v>2966404</v>
      </c>
      <c r="L21" s="13">
        <f>'Volume Gás Adquirido'!L22</f>
        <v>1885999</v>
      </c>
      <c r="M21" s="13">
        <f>'Volume Gás Adquirido'!M22</f>
        <v>1889950</v>
      </c>
      <c r="N21" s="13">
        <f>'Volume Gás Adquirido'!N22</f>
        <v>1948500</v>
      </c>
      <c r="O21" s="13">
        <f>'Volume Gás Adquirido'!O22</f>
        <v>1458087</v>
      </c>
    </row>
    <row r="22" spans="1:15" s="7" customFormat="1">
      <c r="A22" s="34" t="s">
        <v>110</v>
      </c>
      <c r="B22" s="7" t="s">
        <v>112</v>
      </c>
      <c r="C22" s="7" t="s">
        <v>119</v>
      </c>
      <c r="D22" s="14">
        <f t="shared" ref="D22" si="32">D21*D20</f>
        <v>4036520.7719999999</v>
      </c>
      <c r="E22" s="14">
        <f t="shared" ref="E22:G22" si="33">E21*E20</f>
        <v>5746954.4112</v>
      </c>
      <c r="F22" s="14">
        <f t="shared" si="33"/>
        <v>4783352.1524</v>
      </c>
      <c r="G22" s="14">
        <f t="shared" si="33"/>
        <v>4872220.9698000001</v>
      </c>
      <c r="H22" s="14">
        <f t="shared" ref="H22:I22" si="34">H21*H20</f>
        <v>5870495.6403767001</v>
      </c>
      <c r="I22" s="14">
        <f t="shared" si="34"/>
        <v>5342205.1499999994</v>
      </c>
      <c r="J22" s="14">
        <f t="shared" ref="J22:K22" si="35">J21*J20</f>
        <v>6126087.2625000002</v>
      </c>
      <c r="K22" s="14">
        <f t="shared" si="35"/>
        <v>6563168.8499999996</v>
      </c>
      <c r="L22" s="14">
        <f t="shared" ref="L22:M22" si="36">L21*L20</f>
        <v>3702404.6368999998</v>
      </c>
      <c r="M22" s="14">
        <f t="shared" si="36"/>
        <v>3710160.8449999997</v>
      </c>
      <c r="N22" s="14">
        <f t="shared" ref="N22:O22" si="37">N21*N20</f>
        <v>3825100.3499999996</v>
      </c>
      <c r="O22" s="14">
        <f t="shared" si="37"/>
        <v>2823002.2407000004</v>
      </c>
    </row>
    <row r="23" spans="1:15">
      <c r="A23" t="s">
        <v>106</v>
      </c>
      <c r="B23" t="s">
        <v>24</v>
      </c>
      <c r="C23" t="s">
        <v>120</v>
      </c>
      <c r="D23" s="23">
        <f>'Preço Gás Adquirido'!D76</f>
        <v>2.3279999999999998</v>
      </c>
      <c r="E23" s="23">
        <f>'Preço Gás Adquirido'!E76</f>
        <v>2.48</v>
      </c>
      <c r="F23" s="23">
        <f>'Preço Gás Adquirido'!F76</f>
        <v>2.48</v>
      </c>
      <c r="G23" s="23">
        <f>'Preço Gás Adquirido'!G76</f>
        <v>2.48</v>
      </c>
      <c r="H23" s="23">
        <f>'Preço Gás Adquirido'!H76</f>
        <v>2.48</v>
      </c>
      <c r="I23" s="23">
        <f>'Preço Gás Adquirido'!I76</f>
        <v>2.48</v>
      </c>
      <c r="J23" s="23">
        <f>'Preço Gás Adquirido'!J76</f>
        <v>2.48</v>
      </c>
      <c r="K23" s="23">
        <f>'Preço Gás Adquirido'!K76</f>
        <v>2.48</v>
      </c>
      <c r="L23" s="23">
        <f>'Preço Gás Adquirido'!L76</f>
        <v>2.48</v>
      </c>
      <c r="M23" s="23">
        <f>'Preço Gás Adquirido'!M76</f>
        <v>2.48</v>
      </c>
      <c r="N23" s="23">
        <f>'Preço Gás Adquirido'!N76</f>
        <v>2.48</v>
      </c>
      <c r="O23" s="23">
        <f>'Preço Gás Adquirido'!O76</f>
        <v>2.48</v>
      </c>
    </row>
    <row r="24" spans="1:15">
      <c r="A24" t="s">
        <v>106</v>
      </c>
      <c r="B24" t="s">
        <v>72</v>
      </c>
      <c r="C24" t="s">
        <v>95</v>
      </c>
      <c r="D24" s="13">
        <f>'Volume Gás Adquirido'!D27</f>
        <v>0</v>
      </c>
      <c r="E24" s="13">
        <f>'Volume Gás Adquirido'!E27</f>
        <v>0</v>
      </c>
      <c r="F24" s="13">
        <f>'Volume Gás Adquirido'!F27</f>
        <v>0</v>
      </c>
      <c r="G24" s="13">
        <f>'Volume Gás Adquirido'!G27</f>
        <v>0</v>
      </c>
      <c r="H24" s="13">
        <f>'Volume Gás Adquirido'!H27</f>
        <v>0</v>
      </c>
      <c r="I24" s="13">
        <f>'Volume Gás Adquirido'!I27</f>
        <v>0</v>
      </c>
      <c r="J24" s="13">
        <f>'Volume Gás Adquirido'!J27</f>
        <v>0</v>
      </c>
      <c r="K24" s="13">
        <f>'Volume Gás Adquirido'!K27</f>
        <v>0</v>
      </c>
      <c r="L24" s="13">
        <f>'Volume Gás Adquirido'!L27</f>
        <v>0</v>
      </c>
      <c r="M24" s="13">
        <f>'Volume Gás Adquirido'!M27</f>
        <v>142222</v>
      </c>
      <c r="N24" s="13">
        <f>'Volume Gás Adquirido'!N27</f>
        <v>194052</v>
      </c>
      <c r="O24" s="13">
        <f>'Volume Gás Adquirido'!O27</f>
        <v>388186</v>
      </c>
    </row>
    <row r="25" spans="1:15" s="7" customFormat="1">
      <c r="A25" s="7" t="s">
        <v>106</v>
      </c>
      <c r="B25" s="7" t="s">
        <v>107</v>
      </c>
      <c r="C25" s="7" t="s">
        <v>121</v>
      </c>
      <c r="D25" s="21">
        <f t="shared" ref="D25" si="38">D24*D23</f>
        <v>0</v>
      </c>
      <c r="E25" s="21">
        <f t="shared" ref="E25:G25" si="39">E24*E23</f>
        <v>0</v>
      </c>
      <c r="F25" s="21">
        <f t="shared" si="39"/>
        <v>0</v>
      </c>
      <c r="G25" s="21">
        <f t="shared" si="39"/>
        <v>0</v>
      </c>
      <c r="H25" s="21">
        <f t="shared" ref="H25:I25" si="40">H24*H23</f>
        <v>0</v>
      </c>
      <c r="I25" s="21">
        <f t="shared" si="40"/>
        <v>0</v>
      </c>
      <c r="J25" s="21">
        <f t="shared" ref="J25:K25" si="41">J24*J23</f>
        <v>0</v>
      </c>
      <c r="K25" s="21">
        <f t="shared" si="41"/>
        <v>0</v>
      </c>
      <c r="L25" s="21">
        <f t="shared" ref="L25:M25" si="42">L24*L23</f>
        <v>0</v>
      </c>
      <c r="M25" s="14">
        <f t="shared" si="42"/>
        <v>352710.56</v>
      </c>
      <c r="N25" s="14">
        <f t="shared" ref="N25:O25" si="43">N24*N23</f>
        <v>481248.96</v>
      </c>
      <c r="O25" s="14">
        <f t="shared" si="43"/>
        <v>962701.28</v>
      </c>
    </row>
    <row r="26" spans="1:15">
      <c r="A26" t="s">
        <v>106</v>
      </c>
      <c r="B26" t="s">
        <v>24</v>
      </c>
      <c r="C26" t="s">
        <v>321</v>
      </c>
      <c r="D26" s="23">
        <f>'Preço Gás Adquirido'!D83</f>
        <v>3.0129999999999999</v>
      </c>
      <c r="E26" s="23">
        <f>'Preço Gás Adquirido'!E83</f>
        <v>3.0209999999999999</v>
      </c>
      <c r="F26" s="23">
        <f>'Preço Gás Adquirido'!F83</f>
        <v>3.0209999999999999</v>
      </c>
      <c r="G26" s="23">
        <f>'Preço Gás Adquirido'!G83</f>
        <v>3.0209999999999999</v>
      </c>
      <c r="H26" s="23">
        <f>'Preço Gás Adquirido'!H83</f>
        <v>3.0209999999999999</v>
      </c>
      <c r="I26" s="23">
        <f>'Preço Gás Adquirido'!I83</f>
        <v>3.0209999999999999</v>
      </c>
      <c r="J26" s="23">
        <f>'Preço Gás Adquirido'!J83</f>
        <v>3.0209999999999999</v>
      </c>
      <c r="K26" s="23">
        <f>'Preço Gás Adquirido'!K83</f>
        <v>3.0209999999999999</v>
      </c>
      <c r="L26" s="23">
        <f>'Preço Gás Adquirido'!L83</f>
        <v>3.0209999999999999</v>
      </c>
      <c r="M26" s="23">
        <f>'Preço Gás Adquirido'!M83</f>
        <v>3.0209999999999999</v>
      </c>
      <c r="N26" s="23">
        <f>'Preço Gás Adquirido'!N83</f>
        <v>3.0209999999999999</v>
      </c>
      <c r="O26" s="23">
        <f>'Preço Gás Adquirido'!O83</f>
        <v>3.0209999999999999</v>
      </c>
    </row>
    <row r="27" spans="1:15">
      <c r="A27" t="s">
        <v>106</v>
      </c>
      <c r="B27" t="s">
        <v>72</v>
      </c>
      <c r="C27" t="s">
        <v>322</v>
      </c>
      <c r="D27" s="13">
        <f>'Volume Gás Adquirido'!D31</f>
        <v>0</v>
      </c>
      <c r="E27" s="13">
        <f>'Volume Gás Adquirido'!E31</f>
        <v>0</v>
      </c>
      <c r="F27" s="13">
        <f>'Volume Gás Adquirido'!F31</f>
        <v>0</v>
      </c>
      <c r="G27" s="13">
        <f>'Volume Gás Adquirido'!G31</f>
        <v>0</v>
      </c>
      <c r="H27" s="13">
        <f>'Volume Gás Adquirido'!H31</f>
        <v>0</v>
      </c>
      <c r="I27" s="13">
        <f>'Volume Gás Adquirido'!I31</f>
        <v>0</v>
      </c>
      <c r="J27" s="13">
        <f>'Volume Gás Adquirido'!J31</f>
        <v>0</v>
      </c>
      <c r="K27" s="13">
        <f>'Volume Gás Adquirido'!K31</f>
        <v>0</v>
      </c>
      <c r="L27" s="13">
        <f>'Volume Gás Adquirido'!L31</f>
        <v>0</v>
      </c>
      <c r="M27" s="13">
        <f>'Volume Gás Adquirido'!M31</f>
        <v>0</v>
      </c>
      <c r="N27" s="13">
        <f>'Volume Gás Adquirido'!N31</f>
        <v>0</v>
      </c>
      <c r="O27" s="13">
        <f>'Volume Gás Adquirido'!O31</f>
        <v>100374</v>
      </c>
    </row>
    <row r="28" spans="1:15" s="7" customFormat="1">
      <c r="A28" s="7" t="s">
        <v>106</v>
      </c>
      <c r="B28" s="7" t="s">
        <v>107</v>
      </c>
      <c r="C28" s="7" t="s">
        <v>320</v>
      </c>
      <c r="D28" s="14">
        <f t="shared" ref="D28" si="44">D26*D27</f>
        <v>0</v>
      </c>
      <c r="E28" s="14">
        <f t="shared" ref="E28:G28" si="45">E26*E27</f>
        <v>0</v>
      </c>
      <c r="F28" s="14">
        <f t="shared" si="45"/>
        <v>0</v>
      </c>
      <c r="G28" s="14">
        <f t="shared" si="45"/>
        <v>0</v>
      </c>
      <c r="H28" s="14">
        <f t="shared" ref="H28:I28" si="46">H26*H27</f>
        <v>0</v>
      </c>
      <c r="I28" s="14">
        <f t="shared" si="46"/>
        <v>0</v>
      </c>
      <c r="J28" s="14">
        <f t="shared" ref="J28:K28" si="47">J26*J27</f>
        <v>0</v>
      </c>
      <c r="K28" s="14">
        <f t="shared" si="47"/>
        <v>0</v>
      </c>
      <c r="L28" s="14">
        <f t="shared" ref="L28:M28" si="48">L26*L27</f>
        <v>0</v>
      </c>
      <c r="M28" s="14">
        <f t="shared" si="48"/>
        <v>0</v>
      </c>
      <c r="N28" s="14">
        <f t="shared" ref="N28:O28" si="49">N26*N27</f>
        <v>0</v>
      </c>
      <c r="O28" s="14">
        <f t="shared" si="49"/>
        <v>303229.85399999999</v>
      </c>
    </row>
    <row r="29" spans="1:15" s="7" customFormat="1">
      <c r="A29" s="7" t="s">
        <v>106</v>
      </c>
      <c r="B29" s="7" t="s">
        <v>122</v>
      </c>
      <c r="C29" s="7" t="s">
        <v>123</v>
      </c>
      <c r="D29" s="21">
        <f t="shared" ref="D29:N29" si="50">SUM(D4,D7,D10,D13,D16,D19,D22,D28,D25)</f>
        <v>94359292.79959999</v>
      </c>
      <c r="E29" s="21">
        <f t="shared" si="50"/>
        <v>89642162.347200006</v>
      </c>
      <c r="F29" s="21">
        <f t="shared" si="50"/>
        <v>81925127.635700002</v>
      </c>
      <c r="G29" s="21">
        <f t="shared" si="50"/>
        <v>87053698.145499989</v>
      </c>
      <c r="H29" s="21">
        <f t="shared" si="50"/>
        <v>85273903.513976708</v>
      </c>
      <c r="I29" s="21">
        <f t="shared" si="50"/>
        <v>91108717.435699999</v>
      </c>
      <c r="J29" s="21">
        <f t="shared" si="50"/>
        <v>96393145.813299999</v>
      </c>
      <c r="K29" s="21">
        <f t="shared" si="50"/>
        <v>97850703.094899997</v>
      </c>
      <c r="L29" s="21">
        <f t="shared" si="50"/>
        <v>60903303.725100003</v>
      </c>
      <c r="M29" s="21">
        <f t="shared" si="50"/>
        <v>58415250.177199997</v>
      </c>
      <c r="N29" s="21">
        <f t="shared" si="50"/>
        <v>58002924.955600001</v>
      </c>
      <c r="O29" s="21">
        <f t="shared" ref="O29" si="51">SUM(O4,O7,O10,O13,O16,O19,O22,O28,O25)</f>
        <v>51061837.971600011</v>
      </c>
    </row>
    <row r="30" spans="1:15" s="7" customFormat="1"/>
    <row r="32" spans="1:15">
      <c r="A32" t="s">
        <v>124</v>
      </c>
      <c r="B32" t="s">
        <v>27</v>
      </c>
      <c r="C32" t="s">
        <v>28</v>
      </c>
      <c r="D32" s="23">
        <f>'Preço Gás Adquirido'!D14</f>
        <v>2.8576999999999999</v>
      </c>
      <c r="E32" s="23">
        <f>'Preço Gás Adquirido'!E14</f>
        <v>2.8334999999999999</v>
      </c>
      <c r="F32" s="23">
        <f>'Preço Gás Adquirido'!F14</f>
        <v>2.8069999999999999</v>
      </c>
      <c r="G32" s="23">
        <f>'Preço Gás Adquirido'!G14</f>
        <v>2.8069000000000002</v>
      </c>
      <c r="H32" s="23">
        <f>'Preço Gás Adquirido'!H14</f>
        <v>2.8069000000000002</v>
      </c>
      <c r="I32" s="23">
        <f>'Preço Gás Adquirido'!I14</f>
        <v>2.8471000000000002</v>
      </c>
      <c r="J32" s="23">
        <f>'Preço Gás Adquirido'!J14</f>
        <v>2.8471000000000002</v>
      </c>
      <c r="K32" s="23">
        <f>'Preço Gás Adquirido'!K14</f>
        <v>2.8475000000000001</v>
      </c>
      <c r="L32" s="23">
        <f>'Preço Gás Adquirido'!L14</f>
        <v>2.4876</v>
      </c>
      <c r="M32" s="23">
        <f>'Preço Gás Adquirido'!M14</f>
        <v>2.4874999999999998</v>
      </c>
      <c r="N32" s="23">
        <f>'Preço Gás Adquirido'!N14</f>
        <v>2.4874999999999998</v>
      </c>
      <c r="O32" s="23">
        <f>'Preço Gás Adquirido'!O14</f>
        <v>2.4485999999999999</v>
      </c>
    </row>
    <row r="33" spans="1:15">
      <c r="A33" t="s">
        <v>124</v>
      </c>
      <c r="B33" t="s">
        <v>74</v>
      </c>
      <c r="C33" t="s">
        <v>75</v>
      </c>
      <c r="D33" s="13">
        <f>'Volume Gás Adquirido'!D4</f>
        <v>0</v>
      </c>
      <c r="E33" s="13">
        <f>'Volume Gás Adquirido'!E4</f>
        <v>0</v>
      </c>
      <c r="F33" s="13">
        <f>'Volume Gás Adquirido'!F4</f>
        <v>0</v>
      </c>
      <c r="G33" s="13">
        <f>'Volume Gás Adquirido'!G4</f>
        <v>0</v>
      </c>
      <c r="H33" s="13">
        <f>'Volume Gás Adquirido'!H4</f>
        <v>0</v>
      </c>
      <c r="I33" s="13">
        <f>'Volume Gás Adquirido'!I4</f>
        <v>0</v>
      </c>
      <c r="J33" s="13">
        <f>'Volume Gás Adquirido'!J4</f>
        <v>0</v>
      </c>
      <c r="K33" s="13">
        <f>'Volume Gás Adquirido'!K4</f>
        <v>0</v>
      </c>
      <c r="L33" s="13">
        <f>'Volume Gás Adquirido'!L4</f>
        <v>0</v>
      </c>
      <c r="M33" s="13">
        <f>'Volume Gás Adquirido'!M4</f>
        <v>0</v>
      </c>
      <c r="N33" s="13">
        <f>'Volume Gás Adquirido'!N4</f>
        <v>0</v>
      </c>
      <c r="O33" s="13">
        <f>'Volume Gás Adquirido'!O4</f>
        <v>0</v>
      </c>
    </row>
    <row r="34" spans="1:15" s="7" customFormat="1">
      <c r="A34" s="7" t="s">
        <v>124</v>
      </c>
      <c r="B34" s="7" t="s">
        <v>125</v>
      </c>
      <c r="C34" s="7" t="s">
        <v>126</v>
      </c>
      <c r="D34" s="21">
        <f t="shared" ref="D34" si="52">D32*D33</f>
        <v>0</v>
      </c>
      <c r="E34" s="21">
        <f t="shared" ref="E34:G34" si="53">E32*E33</f>
        <v>0</v>
      </c>
      <c r="F34" s="21">
        <f t="shared" si="53"/>
        <v>0</v>
      </c>
      <c r="G34" s="21">
        <f t="shared" si="53"/>
        <v>0</v>
      </c>
      <c r="H34" s="21">
        <f t="shared" ref="H34:I34" si="54">H32*H33</f>
        <v>0</v>
      </c>
      <c r="I34" s="21">
        <f t="shared" si="54"/>
        <v>0</v>
      </c>
      <c r="J34" s="21">
        <f t="shared" ref="J34:K34" si="55">J32*J33</f>
        <v>0</v>
      </c>
      <c r="K34" s="21">
        <f t="shared" si="55"/>
        <v>0</v>
      </c>
      <c r="L34" s="21">
        <f t="shared" ref="L34:M34" si="56">L32*L33</f>
        <v>0</v>
      </c>
      <c r="M34" s="21">
        <f t="shared" si="56"/>
        <v>0</v>
      </c>
      <c r="N34" s="21">
        <f t="shared" ref="N34:O34" si="57">N32*N33</f>
        <v>0</v>
      </c>
      <c r="O34" s="21">
        <f t="shared" si="57"/>
        <v>0</v>
      </c>
    </row>
    <row r="35" spans="1:15">
      <c r="A35" t="s">
        <v>124</v>
      </c>
      <c r="B35" t="s">
        <v>49</v>
      </c>
      <c r="C35" t="s">
        <v>127</v>
      </c>
      <c r="D35" s="23">
        <f>'Preço Gás Adquirido'!D32</f>
        <v>3.2711000000000001</v>
      </c>
      <c r="E35" s="23">
        <f>'Preço Gás Adquirido'!E32</f>
        <v>3.2711000000000001</v>
      </c>
      <c r="F35" s="23">
        <f>'Preço Gás Adquirido'!F32</f>
        <v>3.2107999999999999</v>
      </c>
      <c r="G35" s="23">
        <f>'Preço Gás Adquirido'!G32</f>
        <v>3.2107999999999999</v>
      </c>
      <c r="H35" s="23">
        <f>'Preço Gás Adquirido'!H32</f>
        <v>3.2107999999999999</v>
      </c>
      <c r="I35" s="23">
        <f>'Preço Gás Adquirido'!I32</f>
        <v>3.2885</v>
      </c>
      <c r="J35" s="23">
        <f>'Preço Gás Adquirido'!J32</f>
        <v>3.2885</v>
      </c>
      <c r="K35" s="23">
        <f>'Preço Gás Adquirido'!K32</f>
        <v>3.2885</v>
      </c>
      <c r="L35" s="23">
        <f>'Preço Gás Adquirido'!L32</f>
        <v>2.9085999999999999</v>
      </c>
      <c r="M35" s="23">
        <f>'Preço Gás Adquirido'!M32</f>
        <v>2.9085999999999999</v>
      </c>
      <c r="N35" s="23">
        <f>'Preço Gás Adquirido'!N32</f>
        <v>2.9085999999999999</v>
      </c>
      <c r="O35" s="23">
        <f>'Preço Gás Adquirido'!O32</f>
        <v>2.8567999999999998</v>
      </c>
    </row>
    <row r="36" spans="1:15">
      <c r="A36" t="s">
        <v>124</v>
      </c>
      <c r="B36" t="s">
        <v>81</v>
      </c>
      <c r="C36" t="s">
        <v>82</v>
      </c>
      <c r="D36" s="13">
        <f>'Volume Gás Adquirido'!D11</f>
        <v>199200</v>
      </c>
      <c r="E36" s="13">
        <f>'Volume Gás Adquirido'!E11</f>
        <v>29086</v>
      </c>
      <c r="F36" s="13">
        <f>'Volume Gás Adquirido'!F11</f>
        <v>30680</v>
      </c>
      <c r="G36" s="13">
        <f>'Volume Gás Adquirido'!G11</f>
        <v>160124</v>
      </c>
      <c r="H36" s="13">
        <f>'Volume Gás Adquirido'!H11</f>
        <v>4980</v>
      </c>
      <c r="I36" s="13">
        <f>'Volume Gás Adquirido'!I11</f>
        <v>0</v>
      </c>
      <c r="J36" s="13">
        <f>'Volume Gás Adquirido'!J11</f>
        <v>41597</v>
      </c>
      <c r="K36" s="13">
        <f>'Volume Gás Adquirido'!K11</f>
        <v>343828</v>
      </c>
      <c r="L36" s="13">
        <f>'Volume Gás Adquirido'!L11</f>
        <v>100727</v>
      </c>
      <c r="M36" s="13">
        <f>'Volume Gás Adquirido'!M11</f>
        <v>16731</v>
      </c>
      <c r="N36" s="13">
        <f>'Volume Gás Adquirido'!N11</f>
        <v>0</v>
      </c>
      <c r="O36" s="13">
        <f>'Volume Gás Adquirido'!O11</f>
        <v>0</v>
      </c>
    </row>
    <row r="37" spans="1:15" s="7" customFormat="1">
      <c r="A37" s="7" t="s">
        <v>124</v>
      </c>
      <c r="B37" s="7" t="s">
        <v>125</v>
      </c>
      <c r="C37" s="7" t="s">
        <v>128</v>
      </c>
      <c r="D37" s="21">
        <f t="shared" ref="D37:G37" si="58">D35*D36</f>
        <v>651603.12</v>
      </c>
      <c r="E37" s="21">
        <f t="shared" si="58"/>
        <v>95143.214600000007</v>
      </c>
      <c r="F37" s="21">
        <f t="shared" si="58"/>
        <v>98507.343999999997</v>
      </c>
      <c r="G37" s="21">
        <f t="shared" si="58"/>
        <v>514126.13919999998</v>
      </c>
      <c r="H37" s="21">
        <f t="shared" ref="H37:I37" si="59">H35*H36</f>
        <v>15989.784</v>
      </c>
      <c r="I37" s="21">
        <f t="shared" si="59"/>
        <v>0</v>
      </c>
      <c r="J37" s="21">
        <f t="shared" ref="J37:K37" si="60">J35*J36</f>
        <v>136791.73449999999</v>
      </c>
      <c r="K37" s="21">
        <f t="shared" si="60"/>
        <v>1130678.378</v>
      </c>
      <c r="L37" s="21">
        <f t="shared" ref="L37:M37" si="61">L35*L36</f>
        <v>292974.55219999998</v>
      </c>
      <c r="M37" s="21">
        <f t="shared" si="61"/>
        <v>48663.786599999999</v>
      </c>
      <c r="N37" s="21">
        <f t="shared" ref="N37:O37" si="62">N35*N36</f>
        <v>0</v>
      </c>
      <c r="O37" s="21">
        <f t="shared" si="62"/>
        <v>0</v>
      </c>
    </row>
    <row r="38" spans="1:15">
      <c r="A38" t="s">
        <v>124</v>
      </c>
      <c r="B38" t="s">
        <v>51</v>
      </c>
      <c r="C38" t="s">
        <v>129</v>
      </c>
      <c r="D38" s="23">
        <f>'Preço Gás Adquirido'!D33</f>
        <v>4.2348999999999997</v>
      </c>
      <c r="E38" s="23">
        <f>'Preço Gás Adquirido'!E33</f>
        <v>4.2348999999999997</v>
      </c>
      <c r="F38" s="23">
        <f>'Preço Gás Adquirido'!F33</f>
        <v>4.1544999999999996</v>
      </c>
      <c r="G38" s="23">
        <f>'Preço Gás Adquirido'!G33</f>
        <v>4.1544999999999996</v>
      </c>
      <c r="H38" s="23">
        <f>'Preço Gás Adquirido'!H33</f>
        <v>4.1544999999999996</v>
      </c>
      <c r="I38" s="23">
        <f>'Preço Gás Adquirido'!I33</f>
        <v>4.2473000000000001</v>
      </c>
      <c r="J38" s="23">
        <f>'Preço Gás Adquirido'!J33</f>
        <v>4.2473000000000001</v>
      </c>
      <c r="K38" s="23">
        <f>'Preço Gás Adquirido'!K33</f>
        <v>4.2473000000000001</v>
      </c>
      <c r="L38" s="23">
        <f>'Preço Gás Adquirido'!L33</f>
        <v>3.7406999999999999</v>
      </c>
      <c r="M38" s="23">
        <f>'Preço Gás Adquirido'!M33</f>
        <v>3.7406999999999999</v>
      </c>
      <c r="N38" s="23">
        <f>'Preço Gás Adquirido'!N33</f>
        <v>3.7406999999999999</v>
      </c>
      <c r="O38" s="23">
        <f>'Preço Gás Adquirido'!O33</f>
        <v>3.6717</v>
      </c>
    </row>
    <row r="39" spans="1:15">
      <c r="A39" t="s">
        <v>124</v>
      </c>
      <c r="B39" t="s">
        <v>83</v>
      </c>
      <c r="C39" t="s">
        <v>84</v>
      </c>
      <c r="D39" s="13">
        <f>'Volume Gás Adquirido'!D12</f>
        <v>153368</v>
      </c>
      <c r="E39" s="13">
        <f>'Volume Gás Adquirido'!E12</f>
        <v>0</v>
      </c>
      <c r="F39" s="13">
        <f>'Volume Gás Adquirido'!F12</f>
        <v>0</v>
      </c>
      <c r="G39" s="13">
        <f>'Volume Gás Adquirido'!G12</f>
        <v>26492</v>
      </c>
      <c r="H39" s="13">
        <f>'Volume Gás Adquirido'!H12</f>
        <v>0</v>
      </c>
      <c r="I39" s="13">
        <f>'Volume Gás Adquirido'!I12</f>
        <v>0</v>
      </c>
      <c r="J39" s="13">
        <f>'Volume Gás Adquirido'!J12</f>
        <v>0</v>
      </c>
      <c r="K39" s="13">
        <f>'Volume Gás Adquirido'!K12</f>
        <v>238786</v>
      </c>
      <c r="L39" s="13">
        <f>'Volume Gás Adquirido'!L12</f>
        <v>39026</v>
      </c>
      <c r="M39" s="13">
        <f>'Volume Gás Adquirido'!M12</f>
        <v>0</v>
      </c>
      <c r="N39" s="13">
        <f>'Volume Gás Adquirido'!N12</f>
        <v>0</v>
      </c>
      <c r="O39" s="13">
        <f>'Volume Gás Adquirido'!O12</f>
        <v>0</v>
      </c>
    </row>
    <row r="40" spans="1:15" s="7" customFormat="1">
      <c r="A40" s="7" t="s">
        <v>124</v>
      </c>
      <c r="B40" s="7" t="s">
        <v>125</v>
      </c>
      <c r="C40" s="7" t="s">
        <v>130</v>
      </c>
      <c r="D40" s="21">
        <f t="shared" ref="D40:G40" si="63">D38*D39</f>
        <v>649498.14319999993</v>
      </c>
      <c r="E40" s="21">
        <f t="shared" si="63"/>
        <v>0</v>
      </c>
      <c r="F40" s="21">
        <f t="shared" si="63"/>
        <v>0</v>
      </c>
      <c r="G40" s="21">
        <f t="shared" si="63"/>
        <v>110061.014</v>
      </c>
      <c r="H40" s="21">
        <f t="shared" ref="H40:I40" si="64">H38*H39</f>
        <v>0</v>
      </c>
      <c r="I40" s="21">
        <f t="shared" si="64"/>
        <v>0</v>
      </c>
      <c r="J40" s="21">
        <f t="shared" ref="J40:K40" si="65">J38*J39</f>
        <v>0</v>
      </c>
      <c r="K40" s="21">
        <f t="shared" si="65"/>
        <v>1014195.7778</v>
      </c>
      <c r="L40" s="21">
        <f t="shared" ref="L40:M40" si="66">L38*L39</f>
        <v>145984.5582</v>
      </c>
      <c r="M40" s="21">
        <f t="shared" si="66"/>
        <v>0</v>
      </c>
      <c r="N40" s="21">
        <f t="shared" ref="N40:O40" si="67">N38*N39</f>
        <v>0</v>
      </c>
      <c r="O40" s="21">
        <f t="shared" si="67"/>
        <v>0</v>
      </c>
    </row>
    <row r="41" spans="1:15">
      <c r="A41" t="s">
        <v>124</v>
      </c>
      <c r="B41" t="s">
        <v>49</v>
      </c>
      <c r="C41" t="s">
        <v>131</v>
      </c>
      <c r="D41" s="23">
        <f>'Preço Gás Adquirido'!D50</f>
        <v>3.2002999999999999</v>
      </c>
      <c r="E41" s="23">
        <f>'Preço Gás Adquirido'!E50</f>
        <v>3.2189000000000001</v>
      </c>
      <c r="F41" s="23">
        <f>'Preço Gás Adquirido'!F50</f>
        <v>3.1890000000000001</v>
      </c>
      <c r="G41" s="23">
        <f>'Preço Gás Adquirido'!G50</f>
        <v>3.1890000000000001</v>
      </c>
      <c r="H41" s="23">
        <f>'Preço Gás Adquirido'!H50</f>
        <v>3.1890000000000001</v>
      </c>
      <c r="I41" s="23">
        <f>'Preço Gás Adquirido'!I50</f>
        <v>3.2342</v>
      </c>
      <c r="J41" s="23">
        <f>'Preço Gás Adquirido'!J50</f>
        <v>3.2342</v>
      </c>
      <c r="K41" s="23">
        <f>'Preço Gás Adquirido'!K50</f>
        <v>3.2342</v>
      </c>
      <c r="L41" s="23">
        <f>'Preço Gás Adquirido'!L50</f>
        <v>2.8294999999999999</v>
      </c>
      <c r="M41" s="23">
        <f>'Preço Gás Adquirido'!M50</f>
        <v>2.8294999999999999</v>
      </c>
      <c r="N41" s="23">
        <f>'Preço Gás Adquirido'!N50</f>
        <v>2.8294999999999999</v>
      </c>
      <c r="O41" s="23">
        <f>'Preço Gás Adquirido'!O50</f>
        <v>2.7856999999999998</v>
      </c>
    </row>
    <row r="42" spans="1:15">
      <c r="A42" t="s">
        <v>124</v>
      </c>
      <c r="B42" t="s">
        <v>81</v>
      </c>
      <c r="C42" t="s">
        <v>132</v>
      </c>
      <c r="D42" s="13">
        <f>'Volume Gás Adquirido'!D17</f>
        <v>0</v>
      </c>
      <c r="E42" s="13">
        <f>'Volume Gás Adquirido'!E17</f>
        <v>0</v>
      </c>
      <c r="F42" s="13">
        <f>'Volume Gás Adquirido'!F17</f>
        <v>0</v>
      </c>
      <c r="G42" s="13">
        <f>'Volume Gás Adquirido'!G17</f>
        <v>0</v>
      </c>
      <c r="H42" s="13">
        <f>'Volume Gás Adquirido'!H17</f>
        <v>0</v>
      </c>
      <c r="I42" s="13">
        <f>'Volume Gás Adquirido'!I17</f>
        <v>0</v>
      </c>
      <c r="J42" s="13">
        <f>'Volume Gás Adquirido'!J17</f>
        <v>0</v>
      </c>
      <c r="K42" s="13">
        <f>'Volume Gás Adquirido'!K17</f>
        <v>0</v>
      </c>
      <c r="L42" s="13">
        <f>'Volume Gás Adquirido'!L17</f>
        <v>0</v>
      </c>
      <c r="M42" s="13">
        <f>'Volume Gás Adquirido'!M17</f>
        <v>0</v>
      </c>
      <c r="N42" s="13">
        <f>'Volume Gás Adquirido'!N17</f>
        <v>0</v>
      </c>
      <c r="O42" s="13">
        <f>'Volume Gás Adquirido'!O17</f>
        <v>0</v>
      </c>
    </row>
    <row r="43" spans="1:15" s="7" customFormat="1">
      <c r="A43" s="7" t="s">
        <v>124</v>
      </c>
      <c r="B43" s="7" t="s">
        <v>125</v>
      </c>
      <c r="C43" s="7" t="s">
        <v>133</v>
      </c>
      <c r="D43" s="21">
        <f t="shared" ref="D43:G43" si="68">D41*D42</f>
        <v>0</v>
      </c>
      <c r="E43" s="21">
        <f t="shared" si="68"/>
        <v>0</v>
      </c>
      <c r="F43" s="21">
        <f t="shared" si="68"/>
        <v>0</v>
      </c>
      <c r="G43" s="21">
        <f t="shared" si="68"/>
        <v>0</v>
      </c>
      <c r="H43" s="21">
        <f t="shared" ref="H43:I43" si="69">H41*H42</f>
        <v>0</v>
      </c>
      <c r="I43" s="21">
        <f t="shared" si="69"/>
        <v>0</v>
      </c>
      <c r="J43" s="21">
        <f t="shared" ref="J43:K43" si="70">J41*J42</f>
        <v>0</v>
      </c>
      <c r="K43" s="21">
        <f t="shared" si="70"/>
        <v>0</v>
      </c>
      <c r="L43" s="21">
        <f t="shared" ref="L43:M43" si="71">L41*L42</f>
        <v>0</v>
      </c>
      <c r="M43" s="21">
        <f t="shared" si="71"/>
        <v>0</v>
      </c>
      <c r="N43" s="21">
        <f t="shared" ref="N43:O43" si="72">N41*N42</f>
        <v>0</v>
      </c>
      <c r="O43" s="21">
        <f t="shared" si="72"/>
        <v>0</v>
      </c>
    </row>
    <row r="44" spans="1:15">
      <c r="A44" t="s">
        <v>124</v>
      </c>
      <c r="B44" t="s">
        <v>51</v>
      </c>
      <c r="C44" t="s">
        <v>134</v>
      </c>
      <c r="D44" s="23">
        <f>'Preço Gás Adquirido'!D51</f>
        <v>4.1689999999999996</v>
      </c>
      <c r="E44" s="23">
        <f>'Preço Gás Adquirido'!E51</f>
        <v>4.1875999999999998</v>
      </c>
      <c r="F44" s="23">
        <f>'Preço Gás Adquirido'!F51</f>
        <v>4.1478000000000002</v>
      </c>
      <c r="G44" s="23">
        <f>'Preço Gás Adquirido'!G51</f>
        <v>4.1478000000000002</v>
      </c>
      <c r="H44" s="23">
        <f>'Preço Gás Adquirido'!H51</f>
        <v>4.1478000000000002</v>
      </c>
      <c r="I44" s="23">
        <f>'Preço Gás Adquirido'!I51</f>
        <v>4.2080000000000002</v>
      </c>
      <c r="J44" s="23">
        <f>'Preço Gás Adquirido'!J51</f>
        <v>4.2080000000000002</v>
      </c>
      <c r="K44" s="23">
        <f>'Preço Gás Adquirido'!K51</f>
        <v>4.2080000000000002</v>
      </c>
      <c r="L44" s="23">
        <f>'Preço Gás Adquirido'!L51</f>
        <v>3.6684000000000001</v>
      </c>
      <c r="M44" s="23">
        <f>'Preço Gás Adquirido'!M51</f>
        <v>3.6684000000000001</v>
      </c>
      <c r="N44" s="23">
        <f>'Preço Gás Adquirido'!N51</f>
        <v>3.6684000000000001</v>
      </c>
      <c r="O44" s="23">
        <f>'Preço Gás Adquirido'!O51</f>
        <v>3.61</v>
      </c>
    </row>
    <row r="45" spans="1:15">
      <c r="A45" t="s">
        <v>124</v>
      </c>
      <c r="B45" t="s">
        <v>83</v>
      </c>
      <c r="C45" t="s">
        <v>88</v>
      </c>
      <c r="D45" s="13">
        <f>'Volume Gás Adquirido'!D18</f>
        <v>0</v>
      </c>
      <c r="E45" s="13">
        <f>'Volume Gás Adquirido'!E18</f>
        <v>0</v>
      </c>
      <c r="F45" s="13">
        <f>'Volume Gás Adquirido'!F18</f>
        <v>0</v>
      </c>
      <c r="G45" s="13">
        <f>'Volume Gás Adquirido'!G18</f>
        <v>0</v>
      </c>
      <c r="H45" s="13">
        <f>'Volume Gás Adquirido'!H18</f>
        <v>0</v>
      </c>
      <c r="I45" s="13">
        <f>'Volume Gás Adquirido'!I18</f>
        <v>0</v>
      </c>
      <c r="J45" s="13">
        <f>'Volume Gás Adquirido'!J18</f>
        <v>0</v>
      </c>
      <c r="K45" s="13">
        <f>'Volume Gás Adquirido'!K18</f>
        <v>0</v>
      </c>
      <c r="L45" s="13">
        <f>'Volume Gás Adquirido'!L18</f>
        <v>0</v>
      </c>
      <c r="M45" s="13">
        <f>'Volume Gás Adquirido'!M18</f>
        <v>0</v>
      </c>
      <c r="N45" s="13">
        <f>'Volume Gás Adquirido'!N18</f>
        <v>0</v>
      </c>
      <c r="O45" s="13">
        <f>'Volume Gás Adquirido'!O18</f>
        <v>0</v>
      </c>
    </row>
    <row r="46" spans="1:15" s="7" customFormat="1">
      <c r="A46" s="7" t="s">
        <v>124</v>
      </c>
      <c r="B46" s="7" t="s">
        <v>125</v>
      </c>
      <c r="C46" s="7" t="s">
        <v>135</v>
      </c>
      <c r="D46" s="21">
        <f>D44*D45</f>
        <v>0</v>
      </c>
      <c r="E46" s="21">
        <f t="shared" ref="E46:G46" si="73">E44*E45</f>
        <v>0</v>
      </c>
      <c r="F46" s="21">
        <f t="shared" si="73"/>
        <v>0</v>
      </c>
      <c r="G46" s="21">
        <f t="shared" si="73"/>
        <v>0</v>
      </c>
      <c r="H46" s="21">
        <f t="shared" ref="H46:I46" si="74">H44*H45</f>
        <v>0</v>
      </c>
      <c r="I46" s="21">
        <f t="shared" si="74"/>
        <v>0</v>
      </c>
      <c r="J46" s="21">
        <f t="shared" ref="J46:K46" si="75">J44*J45</f>
        <v>0</v>
      </c>
      <c r="K46" s="21">
        <f t="shared" si="75"/>
        <v>0</v>
      </c>
      <c r="L46" s="21">
        <f t="shared" ref="L46:M46" si="76">L44*L45</f>
        <v>0</v>
      </c>
      <c r="M46" s="21">
        <f t="shared" si="76"/>
        <v>0</v>
      </c>
      <c r="N46" s="21">
        <f t="shared" ref="N46:O46" si="77">N44*N45</f>
        <v>0</v>
      </c>
      <c r="O46" s="21">
        <f t="shared" si="77"/>
        <v>0</v>
      </c>
    </row>
    <row r="47" spans="1:15">
      <c r="A47" t="s">
        <v>124</v>
      </c>
      <c r="B47" t="s">
        <v>49</v>
      </c>
      <c r="C47" t="s">
        <v>136</v>
      </c>
      <c r="D47" s="23">
        <f>'Preço Gás Adquirido'!D68</f>
        <v>3.53</v>
      </c>
      <c r="E47" s="23">
        <f>'Preço Gás Adquirido'!E68</f>
        <v>3.53</v>
      </c>
      <c r="F47" s="23">
        <f>'Preço Gás Adquirido'!F68</f>
        <v>3.4977</v>
      </c>
      <c r="G47" s="23">
        <f>'Preço Gás Adquirido'!G68</f>
        <v>3.4977</v>
      </c>
      <c r="H47" s="23">
        <f>'Preço Gás Adquirido'!H68</f>
        <v>3.4977</v>
      </c>
      <c r="I47" s="23">
        <f>'Preço Gás Adquirido'!I68</f>
        <v>3.5792000000000002</v>
      </c>
      <c r="J47" s="23">
        <f>'Preço Gás Adquirido'!J68</f>
        <v>3.5792000000000002</v>
      </c>
      <c r="K47" s="23">
        <f>'Preço Gás Adquirido'!K68</f>
        <v>3.5792000000000002</v>
      </c>
      <c r="L47" s="23">
        <f>'Preço Gás Adquirido'!L68</f>
        <v>3.1404999999999998</v>
      </c>
      <c r="M47" s="23">
        <f>'Preço Gás Adquirido'!M68</f>
        <v>3.1404999999999998</v>
      </c>
      <c r="N47" s="23">
        <f>'Preço Gás Adquirido'!N68</f>
        <v>3.1404999999999998</v>
      </c>
      <c r="O47" s="23">
        <f>'Preço Gás Adquirido'!O68</f>
        <v>3.0931000000000002</v>
      </c>
    </row>
    <row r="48" spans="1:15">
      <c r="A48" t="s">
        <v>124</v>
      </c>
      <c r="B48" t="s">
        <v>81</v>
      </c>
      <c r="C48" t="s">
        <v>91</v>
      </c>
      <c r="D48" s="13">
        <f>'Volume Gás Adquirido'!D23</f>
        <v>97600</v>
      </c>
      <c r="E48" s="13">
        <f>'Volume Gás Adquirido'!E23</f>
        <v>14827</v>
      </c>
      <c r="F48" s="13">
        <f>'Volume Gás Adquirido'!F23</f>
        <v>16932</v>
      </c>
      <c r="G48" s="13">
        <f>'Volume Gás Adquirido'!G23</f>
        <v>78780</v>
      </c>
      <c r="H48" s="13">
        <f>'Volume Gás Adquirido'!H23</f>
        <v>2659.5360000000001</v>
      </c>
      <c r="I48" s="13">
        <f>'Volume Gás Adquirido'!I23</f>
        <v>0</v>
      </c>
      <c r="J48" s="13">
        <f>'Volume Gás Adquirido'!J23</f>
        <v>20465</v>
      </c>
      <c r="K48" s="13">
        <f>'Volume Gás Adquirido'!K23</f>
        <v>169354</v>
      </c>
      <c r="L48" s="13">
        <f>'Volume Gás Adquirido'!L23</f>
        <v>59467</v>
      </c>
      <c r="M48" s="13">
        <f>'Volume Gás Adquirido'!M23</f>
        <v>7843</v>
      </c>
      <c r="N48" s="13">
        <f>'Volume Gás Adquirido'!N23</f>
        <v>0</v>
      </c>
      <c r="O48" s="13">
        <f>'Volume Gás Adquirido'!O23</f>
        <v>0</v>
      </c>
    </row>
    <row r="49" spans="1:15" s="7" customFormat="1">
      <c r="A49" s="7" t="s">
        <v>124</v>
      </c>
      <c r="B49" s="7" t="s">
        <v>125</v>
      </c>
      <c r="C49" s="7" t="s">
        <v>137</v>
      </c>
      <c r="D49" s="21">
        <f t="shared" ref="D49:G49" si="78">D47*D48</f>
        <v>344528</v>
      </c>
      <c r="E49" s="21">
        <f t="shared" si="78"/>
        <v>52339.31</v>
      </c>
      <c r="F49" s="21">
        <f t="shared" si="78"/>
        <v>59223.056400000001</v>
      </c>
      <c r="G49" s="21">
        <f t="shared" si="78"/>
        <v>275548.80599999998</v>
      </c>
      <c r="H49" s="21">
        <f t="shared" ref="H49:I49" si="79">H47*H48</f>
        <v>9302.2590672000006</v>
      </c>
      <c r="I49" s="21">
        <f t="shared" si="79"/>
        <v>0</v>
      </c>
      <c r="J49" s="21">
        <f t="shared" ref="J49:K49" si="80">J47*J48</f>
        <v>73248.328000000009</v>
      </c>
      <c r="K49" s="21">
        <f t="shared" si="80"/>
        <v>606151.83680000005</v>
      </c>
      <c r="L49" s="21">
        <f t="shared" ref="L49:M49" si="81">L47*L48</f>
        <v>186756.11349999998</v>
      </c>
      <c r="M49" s="21">
        <f t="shared" si="81"/>
        <v>24630.941499999997</v>
      </c>
      <c r="N49" s="21">
        <f t="shared" ref="N49:O49" si="82">N47*N48</f>
        <v>0</v>
      </c>
      <c r="O49" s="21">
        <f t="shared" si="82"/>
        <v>0</v>
      </c>
    </row>
    <row r="50" spans="1:15">
      <c r="A50" t="s">
        <v>124</v>
      </c>
      <c r="B50" t="s">
        <v>51</v>
      </c>
      <c r="C50" t="s">
        <v>138</v>
      </c>
      <c r="D50" s="23">
        <f>'Preço Gás Adquirido'!D69</f>
        <v>4.5800999999999998</v>
      </c>
      <c r="E50" s="23">
        <f>'Preço Gás Adquirido'!E69</f>
        <v>4.5800999999999998</v>
      </c>
      <c r="F50" s="23">
        <f>'Preço Gás Adquirido'!F69</f>
        <v>4.5370999999999997</v>
      </c>
      <c r="G50" s="23">
        <f>'Preço Gás Adquirido'!G69</f>
        <v>4.5370999999999997</v>
      </c>
      <c r="H50" s="23">
        <f>'Preço Gás Adquirido'!H69</f>
        <v>4.5370999999999997</v>
      </c>
      <c r="I50" s="23">
        <f>'Preço Gás Adquirido'!I69</f>
        <v>4.6349</v>
      </c>
      <c r="J50" s="23">
        <f>'Preço Gás Adquirido'!J69</f>
        <v>4.6349</v>
      </c>
      <c r="K50" s="23">
        <f>'Preço Gás Adquirido'!K69</f>
        <v>4.6349</v>
      </c>
      <c r="L50" s="23">
        <f>'Preço Gás Adquirido'!L69</f>
        <v>4.0499000000000001</v>
      </c>
      <c r="M50" s="23">
        <f>'Preço Gás Adquirido'!M69</f>
        <v>4.0499000000000001</v>
      </c>
      <c r="N50" s="23">
        <f>'Preço Gás Adquirido'!N69</f>
        <v>4.0499000000000001</v>
      </c>
      <c r="O50" s="23">
        <f>'Preço Gás Adquirido'!O69</f>
        <v>3.9866999999999999</v>
      </c>
    </row>
    <row r="51" spans="1:15">
      <c r="A51" t="s">
        <v>124</v>
      </c>
      <c r="B51" t="s">
        <v>83</v>
      </c>
      <c r="C51" t="s">
        <v>92</v>
      </c>
      <c r="D51" s="13">
        <f>'Volume Gás Adquirido'!D24</f>
        <v>75144</v>
      </c>
      <c r="E51" s="13">
        <f>'Volume Gás Adquirido'!E24</f>
        <v>0</v>
      </c>
      <c r="F51" s="13">
        <f>'Volume Gás Adquirido'!F24</f>
        <v>0</v>
      </c>
      <c r="G51" s="13">
        <f>'Volume Gás Adquirido'!G24</f>
        <v>13034</v>
      </c>
      <c r="H51" s="13">
        <f>'Volume Gás Adquirido'!H24</f>
        <v>0</v>
      </c>
      <c r="I51" s="13">
        <f>'Volume Gás Adquirido'!I24</f>
        <v>0</v>
      </c>
      <c r="J51" s="13">
        <f>'Volume Gás Adquirido'!J24</f>
        <v>0</v>
      </c>
      <c r="K51" s="13">
        <f>'Volume Gás Adquirido'!K24</f>
        <v>117482</v>
      </c>
      <c r="L51" s="13">
        <f>'Volume Gás Adquirido'!L24</f>
        <v>19193</v>
      </c>
      <c r="M51" s="13">
        <f>'Volume Gás Adquirido'!M24</f>
        <v>0</v>
      </c>
      <c r="N51" s="13">
        <f>'Volume Gás Adquirido'!N24</f>
        <v>0</v>
      </c>
      <c r="O51" s="13">
        <f>'Volume Gás Adquirido'!O24</f>
        <v>0</v>
      </c>
    </row>
    <row r="52" spans="1:15" s="7" customFormat="1">
      <c r="A52" s="7" t="s">
        <v>124</v>
      </c>
      <c r="B52" s="7" t="s">
        <v>125</v>
      </c>
      <c r="C52" s="7" t="s">
        <v>139</v>
      </c>
      <c r="D52" s="21">
        <f t="shared" ref="D52:G52" si="83">D50*D51</f>
        <v>344167.0344</v>
      </c>
      <c r="E52" s="21">
        <f t="shared" si="83"/>
        <v>0</v>
      </c>
      <c r="F52" s="21">
        <f t="shared" si="83"/>
        <v>0</v>
      </c>
      <c r="G52" s="21">
        <f t="shared" si="83"/>
        <v>59136.561399999999</v>
      </c>
      <c r="H52" s="21">
        <f t="shared" ref="H52:I52" si="84">H50*H51</f>
        <v>0</v>
      </c>
      <c r="I52" s="21">
        <f t="shared" si="84"/>
        <v>0</v>
      </c>
      <c r="J52" s="21">
        <f t="shared" ref="J52:K52" si="85">J50*J51</f>
        <v>0</v>
      </c>
      <c r="K52" s="21">
        <f t="shared" si="85"/>
        <v>544517.32180000003</v>
      </c>
      <c r="L52" s="21">
        <f t="shared" ref="L52:M52" si="86">L50*L51</f>
        <v>77729.7307</v>
      </c>
      <c r="M52" s="21">
        <f t="shared" si="86"/>
        <v>0</v>
      </c>
      <c r="N52" s="21">
        <f t="shared" ref="N52:O52" si="87">N50*N51</f>
        <v>0</v>
      </c>
      <c r="O52" s="21">
        <f t="shared" si="87"/>
        <v>0</v>
      </c>
    </row>
    <row r="53" spans="1:15">
      <c r="A53" t="s">
        <v>124</v>
      </c>
      <c r="B53" t="s">
        <v>27</v>
      </c>
      <c r="C53" t="s">
        <v>70</v>
      </c>
      <c r="D53" s="23">
        <f>'Preço Gás Adquirido'!D77</f>
        <v>0</v>
      </c>
      <c r="E53" s="23">
        <f>'Preço Gás Adquirido'!E77</f>
        <v>0</v>
      </c>
      <c r="F53" s="23">
        <f>'Preço Gás Adquirido'!F77</f>
        <v>0</v>
      </c>
      <c r="G53" s="23">
        <f>'Preço Gás Adquirido'!G77</f>
        <v>0</v>
      </c>
      <c r="H53" s="23">
        <f>'Preço Gás Adquirido'!H77</f>
        <v>0</v>
      </c>
      <c r="I53" s="23">
        <f>'Preço Gás Adquirido'!I77</f>
        <v>0</v>
      </c>
      <c r="J53" s="23">
        <f>'Preço Gás Adquirido'!J77</f>
        <v>0</v>
      </c>
      <c r="K53" s="23">
        <f>'Preço Gás Adquirido'!K77</f>
        <v>0</v>
      </c>
      <c r="L53" s="23">
        <f>'Preço Gás Adquirido'!L77</f>
        <v>0</v>
      </c>
      <c r="M53" s="23">
        <f>'Preço Gás Adquirido'!M77</f>
        <v>0</v>
      </c>
      <c r="N53" s="23">
        <f>'Preço Gás Adquirido'!N77</f>
        <v>0</v>
      </c>
      <c r="O53" s="23">
        <f>'Preço Gás Adquirido'!O77</f>
        <v>0</v>
      </c>
    </row>
    <row r="54" spans="1:15">
      <c r="A54" t="s">
        <v>124</v>
      </c>
      <c r="B54" t="s">
        <v>74</v>
      </c>
      <c r="C54" t="s">
        <v>140</v>
      </c>
      <c r="D54" s="13">
        <f>'Volume Gás Adquirido'!D32</f>
        <v>0</v>
      </c>
      <c r="E54" s="13">
        <f>'Volume Gás Adquirido'!E32</f>
        <v>0</v>
      </c>
      <c r="F54" s="13">
        <f>'Volume Gás Adquirido'!F32</f>
        <v>0</v>
      </c>
      <c r="G54" s="13">
        <f>'Volume Gás Adquirido'!G32</f>
        <v>0</v>
      </c>
      <c r="H54" s="13">
        <f>'Volume Gás Adquirido'!H32</f>
        <v>0</v>
      </c>
      <c r="I54" s="13">
        <f>'Volume Gás Adquirido'!I32</f>
        <v>0</v>
      </c>
      <c r="J54" s="13">
        <f>'Volume Gás Adquirido'!J32</f>
        <v>0</v>
      </c>
      <c r="K54" s="13">
        <f>'Volume Gás Adquirido'!K32</f>
        <v>0</v>
      </c>
      <c r="L54" s="13">
        <f>'Volume Gás Adquirido'!L32</f>
        <v>0</v>
      </c>
      <c r="M54" s="13">
        <f>'Volume Gás Adquirido'!M32</f>
        <v>0</v>
      </c>
      <c r="N54" s="13">
        <f>'Volume Gás Adquirido'!N32</f>
        <v>0</v>
      </c>
      <c r="O54" s="13">
        <f>'Volume Gás Adquirido'!O32</f>
        <v>0</v>
      </c>
    </row>
    <row r="55" spans="1:15" s="7" customFormat="1">
      <c r="A55" s="7" t="s">
        <v>124</v>
      </c>
      <c r="B55" s="7" t="s">
        <v>125</v>
      </c>
      <c r="C55" s="7" t="s">
        <v>141</v>
      </c>
      <c r="D55" s="21">
        <f t="shared" ref="D55:G55" si="88">D53*D54</f>
        <v>0</v>
      </c>
      <c r="E55" s="21">
        <f t="shared" si="88"/>
        <v>0</v>
      </c>
      <c r="F55" s="21">
        <f t="shared" si="88"/>
        <v>0</v>
      </c>
      <c r="G55" s="21">
        <f t="shared" si="88"/>
        <v>0</v>
      </c>
      <c r="H55" s="21">
        <f t="shared" ref="H55:I55" si="89">H53*H54</f>
        <v>0</v>
      </c>
      <c r="I55" s="21">
        <f t="shared" si="89"/>
        <v>0</v>
      </c>
      <c r="J55" s="21">
        <f t="shared" ref="J55:K55" si="90">J53*J54</f>
        <v>0</v>
      </c>
      <c r="K55" s="21">
        <f t="shared" si="90"/>
        <v>0</v>
      </c>
      <c r="L55" s="21">
        <f t="shared" ref="L55:M55" si="91">L53*L54</f>
        <v>0</v>
      </c>
      <c r="M55" s="21">
        <f t="shared" si="91"/>
        <v>0</v>
      </c>
      <c r="N55" s="21">
        <f t="shared" ref="N55:O55" si="92">N53*N54</f>
        <v>0</v>
      </c>
      <c r="O55" s="21">
        <f t="shared" si="92"/>
        <v>0</v>
      </c>
    </row>
    <row r="56" spans="1:15" s="7" customFormat="1">
      <c r="A56" s="7" t="s">
        <v>124</v>
      </c>
      <c r="B56" s="7" t="s">
        <v>142</v>
      </c>
      <c r="C56" s="7" t="s">
        <v>143</v>
      </c>
      <c r="D56" s="21">
        <f t="shared" ref="D56:G56" si="93">SUM(D34,D37,D40,D43,D46,D49,D52,D55)</f>
        <v>1989796.2975999999</v>
      </c>
      <c r="E56" s="21">
        <f t="shared" si="93"/>
        <v>147482.5246</v>
      </c>
      <c r="F56" s="21">
        <f t="shared" si="93"/>
        <v>157730.40039999998</v>
      </c>
      <c r="G56" s="21">
        <f t="shared" si="93"/>
        <v>958872.52059999993</v>
      </c>
      <c r="H56" s="21">
        <f t="shared" ref="H56:I56" si="94">SUM(H34,H37,H40,H43,H46,H49,H52,H55)</f>
        <v>25292.0430672</v>
      </c>
      <c r="I56" s="21">
        <f t="shared" si="94"/>
        <v>0</v>
      </c>
      <c r="J56" s="21">
        <f t="shared" ref="J56:K56" si="95">SUM(J34,J37,J40,J43,J46,J49,J52,J55)</f>
        <v>210040.0625</v>
      </c>
      <c r="K56" s="21">
        <f t="shared" si="95"/>
        <v>3295543.3144</v>
      </c>
      <c r="L56" s="21">
        <f t="shared" ref="L56" si="96">SUM(L34,L37,L40,L43,L46,L49,L52,L55)</f>
        <v>703444.95459999994</v>
      </c>
      <c r="M56" s="21">
        <f>SUM(M34,M37,M40,M43,M46,M49,M52,M55)</f>
        <v>73294.728099999993</v>
      </c>
      <c r="N56" s="21">
        <f>SUM(N34,N37,N40,N43,N46,N49,N52,N55)</f>
        <v>0</v>
      </c>
      <c r="O56" s="21">
        <f>SUM(O34,O37,O40,O43,O46,O49,O52,O55)</f>
        <v>0</v>
      </c>
    </row>
    <row r="59" spans="1:15">
      <c r="A59" t="s">
        <v>144</v>
      </c>
      <c r="B59" t="s">
        <v>30</v>
      </c>
      <c r="C59" t="s">
        <v>145</v>
      </c>
      <c r="D59" s="23">
        <f>'Preço Gás Adquirido'!D15</f>
        <v>0</v>
      </c>
      <c r="E59" s="23">
        <f>'Preço Gás Adquirido'!E15</f>
        <v>0</v>
      </c>
      <c r="F59" s="23">
        <f>'Preço Gás Adquirido'!F15</f>
        <v>0</v>
      </c>
      <c r="G59" s="23">
        <f>'Preço Gás Adquirido'!G15</f>
        <v>0</v>
      </c>
      <c r="H59" s="23">
        <f>'Preço Gás Adquirido'!H15</f>
        <v>0</v>
      </c>
      <c r="I59" s="23">
        <f>'Preço Gás Adquirido'!I15</f>
        <v>0</v>
      </c>
      <c r="J59" s="23">
        <f>'Preço Gás Adquirido'!J15</f>
        <v>0</v>
      </c>
      <c r="K59" s="23">
        <f>'Preço Gás Adquirido'!K15</f>
        <v>0</v>
      </c>
      <c r="L59" s="23">
        <f>'Preço Gás Adquirido'!L15</f>
        <v>0</v>
      </c>
      <c r="M59" s="23">
        <f>'Preço Gás Adquirido'!M15</f>
        <v>0</v>
      </c>
      <c r="N59" s="23">
        <f>'Preço Gás Adquirido'!N15</f>
        <v>0</v>
      </c>
      <c r="O59" s="23">
        <f>'Preço Gás Adquirido'!O15</f>
        <v>0</v>
      </c>
    </row>
    <row r="60" spans="1:15">
      <c r="A60" t="s">
        <v>144</v>
      </c>
      <c r="B60" t="s">
        <v>76</v>
      </c>
      <c r="C60" t="s">
        <v>146</v>
      </c>
      <c r="D60" s="13">
        <f>'Volume Gás Adquirido'!D5</f>
        <v>0</v>
      </c>
      <c r="E60" s="13">
        <f>'Volume Gás Adquirido'!E5</f>
        <v>0</v>
      </c>
      <c r="F60" s="13">
        <f>'Volume Gás Adquirido'!F5</f>
        <v>0</v>
      </c>
      <c r="G60" s="13">
        <f>'Volume Gás Adquirido'!G5</f>
        <v>0</v>
      </c>
      <c r="H60" s="13">
        <f>'Volume Gás Adquirido'!H5</f>
        <v>0</v>
      </c>
      <c r="I60" s="13">
        <f>'Volume Gás Adquirido'!I5</f>
        <v>0</v>
      </c>
      <c r="J60" s="13">
        <f>'Volume Gás Adquirido'!J5</f>
        <v>0</v>
      </c>
      <c r="K60" s="13">
        <f>'Volume Gás Adquirido'!K5</f>
        <v>0</v>
      </c>
      <c r="L60" s="13">
        <f>'Volume Gás Adquirido'!L5</f>
        <v>0</v>
      </c>
      <c r="M60" s="13">
        <f>'Volume Gás Adquirido'!M5</f>
        <v>0</v>
      </c>
      <c r="N60" s="13">
        <f>'Volume Gás Adquirido'!N5</f>
        <v>0</v>
      </c>
      <c r="O60" s="13">
        <f>'Volume Gás Adquirido'!O5</f>
        <v>0</v>
      </c>
    </row>
    <row r="61" spans="1:15" s="34" customFormat="1">
      <c r="A61" s="34" t="s">
        <v>144</v>
      </c>
      <c r="B61" s="34" t="s">
        <v>147</v>
      </c>
      <c r="C61" s="34" t="s">
        <v>148</v>
      </c>
      <c r="D61" s="21">
        <f t="shared" ref="D61" si="97">D60*D59</f>
        <v>0</v>
      </c>
      <c r="E61" s="21">
        <f t="shared" ref="E61:G61" si="98">E60*E59</f>
        <v>0</v>
      </c>
      <c r="F61" s="21">
        <f t="shared" si="98"/>
        <v>0</v>
      </c>
      <c r="G61" s="21">
        <f t="shared" si="98"/>
        <v>0</v>
      </c>
      <c r="H61" s="21">
        <f t="shared" ref="H61:I61" si="99">H60*H59</f>
        <v>0</v>
      </c>
      <c r="I61" s="21">
        <f t="shared" si="99"/>
        <v>0</v>
      </c>
      <c r="J61" s="21">
        <f t="shared" ref="J61:K61" si="100">J60*J59</f>
        <v>0</v>
      </c>
      <c r="K61" s="21">
        <f t="shared" si="100"/>
        <v>0</v>
      </c>
      <c r="L61" s="21">
        <f t="shared" ref="L61:M61" si="101">L60*L59</f>
        <v>0</v>
      </c>
      <c r="M61" s="21">
        <f t="shared" si="101"/>
        <v>0</v>
      </c>
      <c r="N61" s="21">
        <f t="shared" ref="N61:O61" si="102">N60*N59</f>
        <v>0</v>
      </c>
      <c r="O61" s="21">
        <f t="shared" si="102"/>
        <v>0</v>
      </c>
    </row>
    <row r="62" spans="1:15" s="34" customFormat="1">
      <c r="A62" s="34" t="s">
        <v>144</v>
      </c>
      <c r="B62" s="34" t="s">
        <v>149</v>
      </c>
      <c r="C62" s="34" t="s">
        <v>150</v>
      </c>
      <c r="D62" s="21">
        <f t="shared" ref="D62" si="103">D61</f>
        <v>0</v>
      </c>
      <c r="E62" s="21">
        <f t="shared" ref="E62:G62" si="104">E61</f>
        <v>0</v>
      </c>
      <c r="F62" s="21">
        <f t="shared" si="104"/>
        <v>0</v>
      </c>
      <c r="G62" s="21">
        <f t="shared" si="104"/>
        <v>0</v>
      </c>
      <c r="H62" s="21">
        <f t="shared" ref="H62:I62" si="105">H61</f>
        <v>0</v>
      </c>
      <c r="I62" s="21">
        <f t="shared" si="105"/>
        <v>0</v>
      </c>
      <c r="J62" s="21">
        <f t="shared" ref="J62:K62" si="106">J61</f>
        <v>0</v>
      </c>
      <c r="K62" s="21">
        <f t="shared" si="106"/>
        <v>0</v>
      </c>
      <c r="L62" s="21">
        <f t="shared" ref="L62:M62" si="107">L61</f>
        <v>0</v>
      </c>
      <c r="M62" s="21">
        <f t="shared" si="107"/>
        <v>0</v>
      </c>
      <c r="N62" s="21">
        <f t="shared" ref="N62:O62" si="108">N61</f>
        <v>0</v>
      </c>
      <c r="O62" s="21">
        <f t="shared" si="108"/>
        <v>0</v>
      </c>
    </row>
    <row r="63" spans="1:15">
      <c r="B63" s="7"/>
    </row>
    <row r="64" spans="1:15" s="68" customFormat="1">
      <c r="C64" s="71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</row>
    <row r="65" spans="2:2">
      <c r="B65" s="7"/>
    </row>
    <row r="66" spans="2:2">
      <c r="B66" s="7"/>
    </row>
  </sheetData>
  <sheetProtection algorithmName="SHA-512" hashValue="rN84NIlsrXQrNJEeLYUWwAy6NmbTk7RyoYIGq4FNT30+3+TrZ30KjF0RqGe5yBrdAp+2Ea3a3ebQHfBIQfYSSw==" saltValue="6TSRvbi3qL8K9FtJqYkFeQ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79998168889431442"/>
  </sheetPr>
  <dimension ref="A1:N16"/>
  <sheetViews>
    <sheetView workbookViewId="0">
      <pane xSplit="2" ySplit="1" topLeftCell="J2" activePane="bottomRight" state="frozen"/>
      <selection pane="topRight" activeCell="D1" sqref="D1"/>
      <selection pane="bottomLeft" activeCell="A2" sqref="A2"/>
      <selection pane="bottomRight"/>
    </sheetView>
  </sheetViews>
  <sheetFormatPr defaultRowHeight="14.5"/>
  <cols>
    <col min="1" max="1" width="8.36328125" customWidth="1"/>
    <col min="2" max="2" width="31.90625" customWidth="1"/>
    <col min="3" max="3" width="11.453125" customWidth="1"/>
    <col min="4" max="14" width="10.6328125" customWidth="1"/>
  </cols>
  <sheetData>
    <row r="1" spans="1:14">
      <c r="A1" s="9"/>
      <c r="B1" s="49" t="s">
        <v>151</v>
      </c>
      <c r="C1" s="50">
        <v>45627</v>
      </c>
      <c r="D1" s="50">
        <v>45658</v>
      </c>
      <c r="E1" s="50">
        <v>45689</v>
      </c>
      <c r="F1" s="50">
        <v>45717</v>
      </c>
      <c r="G1" s="50">
        <v>45748</v>
      </c>
      <c r="H1" s="50">
        <v>45778</v>
      </c>
      <c r="I1" s="50">
        <v>45809</v>
      </c>
      <c r="J1" s="50">
        <v>45839</v>
      </c>
      <c r="K1" s="50">
        <v>45870</v>
      </c>
      <c r="L1" s="50">
        <v>45901</v>
      </c>
      <c r="M1" s="50">
        <v>45931</v>
      </c>
      <c r="N1" s="50">
        <v>45962</v>
      </c>
    </row>
    <row r="2" spans="1:14">
      <c r="A2" t="s">
        <v>152</v>
      </c>
      <c r="B2" t="s">
        <v>153</v>
      </c>
      <c r="C2" s="3">
        <v>0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</row>
    <row r="3" spans="1:14">
      <c r="A3" t="s">
        <v>152</v>
      </c>
      <c r="B3" t="s">
        <v>154</v>
      </c>
      <c r="C3" s="3">
        <v>0</v>
      </c>
      <c r="D3" s="3">
        <v>365594.74050000001</v>
      </c>
      <c r="E3" s="3">
        <v>27213.193425000009</v>
      </c>
      <c r="F3" s="3">
        <v>12459.357899999999</v>
      </c>
      <c r="G3" s="3">
        <v>584322.80870700011</v>
      </c>
      <c r="H3" s="3">
        <v>486619.22347499995</v>
      </c>
      <c r="I3" s="3">
        <v>0</v>
      </c>
      <c r="J3" s="3">
        <v>0</v>
      </c>
      <c r="K3" s="3">
        <v>138862.85999999999</v>
      </c>
      <c r="L3" s="3">
        <v>199638.13897499998</v>
      </c>
      <c r="M3" s="3">
        <v>0</v>
      </c>
      <c r="N3" s="3">
        <f>474890.03+1096588.62</f>
        <v>1571478.6500000001</v>
      </c>
    </row>
    <row r="4" spans="1:14">
      <c r="A4" t="s">
        <v>152</v>
      </c>
      <c r="B4" t="s">
        <v>155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</row>
    <row r="5" spans="1:14">
      <c r="A5" t="s">
        <v>152</v>
      </c>
      <c r="B5" t="s">
        <v>156</v>
      </c>
      <c r="C5" s="3">
        <v>325673.23800000001</v>
      </c>
      <c r="D5" s="3">
        <v>58462.347900000001</v>
      </c>
      <c r="E5" s="3">
        <v>29379.751500000002</v>
      </c>
      <c r="F5" s="3">
        <v>302713.48800000007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f>111660.56+494653.11</f>
        <v>606313.66999999993</v>
      </c>
    </row>
    <row r="6" spans="1:14">
      <c r="A6" t="s">
        <v>152</v>
      </c>
      <c r="B6" t="s">
        <v>157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</row>
    <row r="7" spans="1:14">
      <c r="A7" t="s">
        <v>152</v>
      </c>
      <c r="B7" t="s">
        <v>158</v>
      </c>
      <c r="C7" s="3">
        <v>927426.02287500002</v>
      </c>
      <c r="D7" s="3">
        <v>1403637.3375750002</v>
      </c>
      <c r="E7" s="3">
        <v>1263889.1529000001</v>
      </c>
      <c r="F7" s="3">
        <v>1307140.7481</v>
      </c>
      <c r="G7" s="3">
        <v>1144655.876925</v>
      </c>
      <c r="H7" s="3">
        <v>1178665.2834000003</v>
      </c>
      <c r="I7" s="3">
        <v>1156711.68</v>
      </c>
      <c r="J7" s="3">
        <v>906896.08597499994</v>
      </c>
      <c r="K7" s="3">
        <v>772006.28</v>
      </c>
      <c r="L7" s="3">
        <v>866384.16974999988</v>
      </c>
      <c r="M7" s="3">
        <v>889470.08039999998</v>
      </c>
      <c r="N7" s="3">
        <v>872746.38</v>
      </c>
    </row>
    <row r="8" spans="1:14">
      <c r="A8" s="34" t="s">
        <v>159</v>
      </c>
      <c r="B8" s="34" t="s">
        <v>160</v>
      </c>
      <c r="C8" s="37">
        <f t="shared" ref="C8:N8" si="0">SUM(C2:C7)</f>
        <v>1253099.2608750002</v>
      </c>
      <c r="D8" s="37">
        <f t="shared" si="0"/>
        <v>1827694.4259750003</v>
      </c>
      <c r="E8" s="37">
        <f t="shared" si="0"/>
        <v>1320482.0978250001</v>
      </c>
      <c r="F8" s="37">
        <f t="shared" si="0"/>
        <v>1622313.594</v>
      </c>
      <c r="G8" s="37">
        <f t="shared" si="0"/>
        <v>1728978.6856320002</v>
      </c>
      <c r="H8" s="37">
        <f t="shared" si="0"/>
        <v>1665284.5068750002</v>
      </c>
      <c r="I8" s="37">
        <f t="shared" si="0"/>
        <v>1156711.68</v>
      </c>
      <c r="J8" s="37">
        <f t="shared" si="0"/>
        <v>906896.08597499994</v>
      </c>
      <c r="K8" s="37">
        <f t="shared" si="0"/>
        <v>910869.14</v>
      </c>
      <c r="L8" s="37">
        <f t="shared" si="0"/>
        <v>1066022.3087249999</v>
      </c>
      <c r="M8" s="37">
        <f t="shared" si="0"/>
        <v>889470.08039999998</v>
      </c>
      <c r="N8" s="37">
        <f t="shared" si="0"/>
        <v>3050538.7</v>
      </c>
    </row>
    <row r="10" spans="1:14">
      <c r="A10" s="9"/>
      <c r="B10" s="49" t="s">
        <v>161</v>
      </c>
      <c r="C10" s="50">
        <v>45627</v>
      </c>
      <c r="D10" s="50">
        <v>45658</v>
      </c>
      <c r="E10" s="50">
        <v>45689</v>
      </c>
      <c r="F10" s="50">
        <v>45717</v>
      </c>
      <c r="G10" s="50">
        <v>45748</v>
      </c>
      <c r="H10" s="50">
        <v>45778</v>
      </c>
      <c r="I10" s="50">
        <v>45809</v>
      </c>
      <c r="J10" s="50">
        <v>45839</v>
      </c>
      <c r="K10" s="50">
        <v>45870</v>
      </c>
      <c r="L10" s="50">
        <v>45901</v>
      </c>
      <c r="M10" s="50">
        <v>45931</v>
      </c>
      <c r="N10" s="50">
        <v>45962</v>
      </c>
    </row>
    <row r="11" spans="1:14">
      <c r="A11" t="s">
        <v>162</v>
      </c>
      <c r="B11" t="s">
        <v>163</v>
      </c>
      <c r="C11" s="3">
        <v>3693548.52</v>
      </c>
      <c r="D11" s="3">
        <v>3287188.982574</v>
      </c>
      <c r="E11" s="3">
        <v>3035323.1372420001</v>
      </c>
      <c r="F11" s="3">
        <v>3116485.2111762809</v>
      </c>
      <c r="G11" s="3">
        <v>3166920.1972320001</v>
      </c>
      <c r="H11" s="3">
        <v>3215633.3136510001</v>
      </c>
      <c r="I11" s="3">
        <v>3090217.269942</v>
      </c>
      <c r="J11" s="3">
        <v>2468385.3191910004</v>
      </c>
      <c r="K11" s="3">
        <v>1655508.4692960002</v>
      </c>
      <c r="L11" s="3">
        <v>1928291.5663770004</v>
      </c>
      <c r="M11" s="3">
        <v>1803143.89</v>
      </c>
      <c r="N11" s="3">
        <v>1735813.6967820001</v>
      </c>
    </row>
    <row r="12" spans="1:14">
      <c r="A12" t="s">
        <v>162</v>
      </c>
      <c r="B12" t="s">
        <v>164</v>
      </c>
      <c r="C12" s="3">
        <v>1219058.9795175854</v>
      </c>
      <c r="D12" s="3">
        <v>1373900.7854696419</v>
      </c>
      <c r="E12" s="3">
        <v>1222057.4517251439</v>
      </c>
      <c r="F12" s="3">
        <v>1363978.0570835494</v>
      </c>
      <c r="G12" s="3">
        <v>1319978.7649195641</v>
      </c>
      <c r="H12" s="3">
        <v>1363978.0539000002</v>
      </c>
      <c r="I12" s="3">
        <v>1319978.76945</v>
      </c>
      <c r="J12" s="3">
        <v>1363978.0539000002</v>
      </c>
      <c r="K12" s="3">
        <v>767237.65710949665</v>
      </c>
      <c r="L12" s="3">
        <v>742488.05526725471</v>
      </c>
      <c r="M12" s="3">
        <v>767237.65710949642</v>
      </c>
      <c r="N12" s="3">
        <v>742488.06</v>
      </c>
    </row>
    <row r="13" spans="1:14">
      <c r="A13" s="34" t="s">
        <v>165</v>
      </c>
      <c r="B13" s="34" t="s">
        <v>166</v>
      </c>
      <c r="C13" s="37">
        <f t="shared" ref="C13:N13" si="1">SUM(C11:C12)</f>
        <v>4912607.4995175852</v>
      </c>
      <c r="D13" s="37">
        <f t="shared" si="1"/>
        <v>4661089.7680436419</v>
      </c>
      <c r="E13" s="37">
        <f t="shared" si="1"/>
        <v>4257380.5889671445</v>
      </c>
      <c r="F13" s="37">
        <f t="shared" si="1"/>
        <v>4480463.2682598308</v>
      </c>
      <c r="G13" s="37">
        <f t="shared" si="1"/>
        <v>4486898.9621515647</v>
      </c>
      <c r="H13" s="37">
        <f t="shared" si="1"/>
        <v>4579611.3675510008</v>
      </c>
      <c r="I13" s="37">
        <f t="shared" si="1"/>
        <v>4410196.0393920001</v>
      </c>
      <c r="J13" s="37">
        <f t="shared" si="1"/>
        <v>3832363.3730910006</v>
      </c>
      <c r="K13" s="37">
        <f t="shared" si="1"/>
        <v>2422746.1264054971</v>
      </c>
      <c r="L13" s="37">
        <f t="shared" si="1"/>
        <v>2670779.6216442552</v>
      </c>
      <c r="M13" s="37">
        <f t="shared" si="1"/>
        <v>2570381.5471094963</v>
      </c>
      <c r="N13" s="37">
        <f t="shared" si="1"/>
        <v>2478301.756782</v>
      </c>
    </row>
    <row r="16" spans="1:14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</sheetData>
  <sheetProtection algorithmName="SHA-512" hashValue="T33cPd5Y1+pxqort+CzEhbAuGNWZIUscIo9yfL7mAAWjZHuJSdTcjyOjczNGvi92wIKi2mHYWH4HALq/gJ2mLg==" saltValue="bGOqS9A8tIdU2yRsiWQOCQ==" spinCount="100000" sheet="1" objects="1" scenarios="1"/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79998168889431442"/>
  </sheetPr>
  <dimension ref="A1:N28"/>
  <sheetViews>
    <sheetView workbookViewId="0">
      <pane xSplit="2" ySplit="1" topLeftCell="J2" activePane="bottomRight" state="frozen"/>
      <selection pane="topRight" activeCell="D1" sqref="D1"/>
      <selection pane="bottomLeft" activeCell="A2" sqref="A2"/>
      <selection pane="bottomRight"/>
    </sheetView>
  </sheetViews>
  <sheetFormatPr defaultRowHeight="14.5"/>
  <cols>
    <col min="1" max="1" width="11.36328125" customWidth="1"/>
    <col min="2" max="2" width="41.90625" customWidth="1"/>
    <col min="3" max="3" width="14.7265625" bestFit="1" customWidth="1"/>
    <col min="4" max="8" width="13.7265625" bestFit="1" customWidth="1"/>
    <col min="9" max="10" width="14.7265625" bestFit="1" customWidth="1"/>
    <col min="11" max="11" width="14.6328125" customWidth="1"/>
    <col min="12" max="12" width="14.08984375" customWidth="1"/>
    <col min="13" max="13" width="14.36328125" customWidth="1"/>
    <col min="14" max="14" width="13.6328125" bestFit="1" customWidth="1"/>
  </cols>
  <sheetData>
    <row r="1" spans="1:14">
      <c r="B1" s="34" t="s">
        <v>167</v>
      </c>
      <c r="C1" s="38">
        <v>45627</v>
      </c>
      <c r="D1" s="38">
        <v>45658</v>
      </c>
      <c r="E1" s="38">
        <v>45689</v>
      </c>
      <c r="F1" s="38">
        <v>45717</v>
      </c>
      <c r="G1" s="38">
        <v>45748</v>
      </c>
      <c r="H1" s="38">
        <v>45778</v>
      </c>
      <c r="I1" s="38">
        <v>45809</v>
      </c>
      <c r="J1" s="38">
        <v>45839</v>
      </c>
      <c r="K1" s="38">
        <v>45870</v>
      </c>
      <c r="L1" s="38">
        <v>45901</v>
      </c>
      <c r="M1" s="38">
        <v>45931</v>
      </c>
      <c r="N1" s="38">
        <v>45962</v>
      </c>
    </row>
    <row r="2" spans="1:14">
      <c r="A2" t="s">
        <v>122</v>
      </c>
      <c r="B2" t="s">
        <v>168</v>
      </c>
      <c r="C2" s="12">
        <f>'Montantes Aquisição'!D29</f>
        <v>94359292.79959999</v>
      </c>
      <c r="D2" s="12">
        <f>'Montantes Aquisição'!E29</f>
        <v>89642162.347200006</v>
      </c>
      <c r="E2" s="12">
        <f>'Montantes Aquisição'!F29</f>
        <v>81925127.635700002</v>
      </c>
      <c r="F2" s="12">
        <f>'Montantes Aquisição'!G29</f>
        <v>87053698.145499989</v>
      </c>
      <c r="G2" s="12">
        <f>'Montantes Aquisição'!H29</f>
        <v>85273903.513976708</v>
      </c>
      <c r="H2" s="12">
        <f>'Montantes Aquisição'!I29</f>
        <v>91108717.435699999</v>
      </c>
      <c r="I2" s="12">
        <f>'Montantes Aquisição'!J29</f>
        <v>96393145.813299999</v>
      </c>
      <c r="J2" s="12">
        <f>'Montantes Aquisição'!K29</f>
        <v>97850703.094899997</v>
      </c>
      <c r="K2" s="12">
        <f>'Montantes Aquisição'!L29</f>
        <v>60903303.725100003</v>
      </c>
      <c r="L2" s="12">
        <f>'Montantes Aquisição'!M29</f>
        <v>58415250.177199997</v>
      </c>
      <c r="M2" s="12">
        <f>'Montantes Aquisição'!N29</f>
        <v>58002924.955600001</v>
      </c>
      <c r="N2" s="12">
        <f>'Montantes Aquisição'!O29</f>
        <v>51061837.971600011</v>
      </c>
    </row>
    <row r="3" spans="1:14">
      <c r="A3" t="s">
        <v>142</v>
      </c>
      <c r="B3" t="s">
        <v>169</v>
      </c>
      <c r="C3" s="12">
        <f>'Montantes Aquisição'!D56</f>
        <v>1989796.2975999999</v>
      </c>
      <c r="D3" s="12">
        <f>'Montantes Aquisição'!E56</f>
        <v>147482.5246</v>
      </c>
      <c r="E3" s="12">
        <f>'Montantes Aquisição'!F56</f>
        <v>157730.40039999998</v>
      </c>
      <c r="F3" s="12">
        <f>'Montantes Aquisição'!G56</f>
        <v>958872.52059999993</v>
      </c>
      <c r="G3" s="12">
        <f>'Montantes Aquisição'!H56</f>
        <v>25292.0430672</v>
      </c>
      <c r="H3" s="12">
        <f>'Montantes Aquisição'!I56</f>
        <v>0</v>
      </c>
      <c r="I3" s="12">
        <f>'Montantes Aquisição'!J56</f>
        <v>210040.0625</v>
      </c>
      <c r="J3" s="12">
        <f>'Montantes Aquisição'!K56</f>
        <v>3295543.3144</v>
      </c>
      <c r="K3" s="12">
        <f>'Montantes Aquisição'!L56</f>
        <v>703444.95459999994</v>
      </c>
      <c r="L3" s="12">
        <f>'Montantes Aquisição'!M56</f>
        <v>73294.728099999993</v>
      </c>
      <c r="M3" s="12">
        <f>'Montantes Aquisição'!N56</f>
        <v>0</v>
      </c>
      <c r="N3" s="12">
        <f>'Montantes Aquisição'!O56</f>
        <v>0</v>
      </c>
    </row>
    <row r="4" spans="1:14">
      <c r="A4" t="s">
        <v>149</v>
      </c>
      <c r="B4" t="s">
        <v>170</v>
      </c>
      <c r="C4" s="12">
        <f>'Montantes Aquisição'!D61</f>
        <v>0</v>
      </c>
      <c r="D4" s="12">
        <f>'Montantes Aquisição'!E61</f>
        <v>0</v>
      </c>
      <c r="E4" s="12">
        <f>'Montantes Aquisição'!F61</f>
        <v>0</v>
      </c>
      <c r="F4" s="12">
        <f>'Montantes Aquisição'!G61</f>
        <v>0</v>
      </c>
      <c r="G4" s="12">
        <f>'Montantes Aquisição'!H61</f>
        <v>0</v>
      </c>
      <c r="H4" s="12">
        <f>'Montantes Aquisição'!I61</f>
        <v>0</v>
      </c>
      <c r="I4" s="12">
        <f>'Montantes Aquisição'!J61</f>
        <v>0</v>
      </c>
      <c r="J4" s="12">
        <f>'Montantes Aquisição'!K61</f>
        <v>0</v>
      </c>
      <c r="K4" s="12">
        <f>'Montantes Aquisição'!L61</f>
        <v>0</v>
      </c>
      <c r="L4" s="12">
        <f>'Montantes Aquisição'!M61</f>
        <v>0</v>
      </c>
      <c r="M4" s="12">
        <f>'Montantes Aquisição'!N61</f>
        <v>0</v>
      </c>
      <c r="N4" s="12">
        <f>'Montantes Aquisição'!O61</f>
        <v>0</v>
      </c>
    </row>
    <row r="5" spans="1:14">
      <c r="A5" t="s">
        <v>159</v>
      </c>
      <c r="B5" t="s">
        <v>160</v>
      </c>
      <c r="C5" s="3">
        <f>Encargos!C8</f>
        <v>1253099.2608750002</v>
      </c>
      <c r="D5" s="3">
        <f>Encargos!D8</f>
        <v>1827694.4259750003</v>
      </c>
      <c r="E5" s="3">
        <f>Encargos!E8</f>
        <v>1320482.0978250001</v>
      </c>
      <c r="F5" s="3">
        <f>Encargos!F8</f>
        <v>1622313.594</v>
      </c>
      <c r="G5" s="3">
        <f>Encargos!G8</f>
        <v>1728978.6856320002</v>
      </c>
      <c r="H5" s="3">
        <f>Encargos!H8</f>
        <v>1665284.5068750002</v>
      </c>
      <c r="I5" s="3">
        <f>Encargos!I8</f>
        <v>1156711.68</v>
      </c>
      <c r="J5" s="3">
        <f>Encargos!J8</f>
        <v>906896.08597499994</v>
      </c>
      <c r="K5" s="3">
        <f>Encargos!K8</f>
        <v>910869.14</v>
      </c>
      <c r="L5" s="3">
        <f>Encargos!L8</f>
        <v>1066022.3087249999</v>
      </c>
      <c r="M5" s="3">
        <f>Encargos!M8</f>
        <v>889470.08039999998</v>
      </c>
      <c r="N5" s="3">
        <f>Encargos!N8</f>
        <v>3050538.7</v>
      </c>
    </row>
    <row r="6" spans="1:14">
      <c r="A6" t="s">
        <v>165</v>
      </c>
      <c r="B6" t="s">
        <v>166</v>
      </c>
      <c r="C6" s="3">
        <f>Encargos!C13</f>
        <v>4912607.4995175852</v>
      </c>
      <c r="D6" s="3">
        <f>Encargos!D13</f>
        <v>4661089.7680436419</v>
      </c>
      <c r="E6" s="3">
        <f>Encargos!E13</f>
        <v>4257380.5889671445</v>
      </c>
      <c r="F6" s="3">
        <f>Encargos!F13</f>
        <v>4480463.2682598308</v>
      </c>
      <c r="G6" s="3">
        <f>Encargos!G13</f>
        <v>4486898.9621515647</v>
      </c>
      <c r="H6" s="3">
        <f>Encargos!H13</f>
        <v>4579611.3675510008</v>
      </c>
      <c r="I6" s="3">
        <f>Encargos!I13</f>
        <v>4410196.0393920001</v>
      </c>
      <c r="J6" s="3">
        <f>Encargos!J13</f>
        <v>3832363.3730910006</v>
      </c>
      <c r="K6" s="3">
        <f>Encargos!K13</f>
        <v>2422746.1264054971</v>
      </c>
      <c r="L6" s="3">
        <f>Encargos!L13</f>
        <v>2670779.6216442552</v>
      </c>
      <c r="M6" s="3">
        <f>Encargos!M13</f>
        <v>2570381.5471094963</v>
      </c>
      <c r="N6" s="3">
        <f>Encargos!N13</f>
        <v>2478301.756782</v>
      </c>
    </row>
    <row r="7" spans="1:14">
      <c r="A7" t="s">
        <v>171</v>
      </c>
      <c r="B7" t="s">
        <v>171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</row>
    <row r="8" spans="1:14">
      <c r="A8" t="s">
        <v>172</v>
      </c>
      <c r="B8" t="s">
        <v>173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5">
        <f>61935.84+123678.05-16022.21</f>
        <v>169591.68000000002</v>
      </c>
      <c r="N8" s="3">
        <f>70446.89+96139.21+13161.52</f>
        <v>179747.62</v>
      </c>
    </row>
    <row r="9" spans="1:14">
      <c r="A9" t="s">
        <v>174</v>
      </c>
      <c r="B9" t="s">
        <v>175</v>
      </c>
      <c r="C9" s="3">
        <f>45138.9141726898+74.1+1359322.9</f>
        <v>1404535.9141726897</v>
      </c>
      <c r="D9" s="3">
        <f>32083.19+99.3</f>
        <v>32182.489999999998</v>
      </c>
      <c r="E9" s="3">
        <f>5502.12+0.02</f>
        <v>5502.14</v>
      </c>
      <c r="F9" s="3">
        <f>5368.12-0.03</f>
        <v>5368.09</v>
      </c>
      <c r="G9" s="3">
        <f>5926.09+0.14</f>
        <v>5926.2300000000005</v>
      </c>
      <c r="H9" s="3">
        <f>8462.51+77.97</f>
        <v>8540.48</v>
      </c>
      <c r="I9" s="3">
        <f>8329.76-39.39</f>
        <v>8290.3700000000008</v>
      </c>
      <c r="J9" s="3">
        <f>8899.83+9342.75+2.65</f>
        <v>18245.230000000003</v>
      </c>
      <c r="K9" s="3">
        <f>9047.6+90008-56.84</f>
        <v>98998.760000000009</v>
      </c>
      <c r="L9" s="3">
        <f>6598.5414-100.9776+23.08</f>
        <v>6520.6437999999998</v>
      </c>
      <c r="M9" s="3">
        <f>9549.7-90007.99-39.5-137.76+0.02</f>
        <v>-80635.53</v>
      </c>
      <c r="N9" s="3">
        <f>5672.32+20503.77-72.07-275.61-539.76</f>
        <v>25288.65</v>
      </c>
    </row>
    <row r="10" spans="1:14">
      <c r="A10" s="34" t="s">
        <v>176</v>
      </c>
      <c r="B10" s="34" t="s">
        <v>177</v>
      </c>
      <c r="C10" s="40">
        <f>SUM(C2:C9)</f>
        <v>103919331.77176528</v>
      </c>
      <c r="D10" s="40">
        <f t="shared" ref="D10" si="0">SUM(D2:D9)</f>
        <v>96310611.555818632</v>
      </c>
      <c r="E10" s="40">
        <f t="shared" ref="E10" si="1">SUM(E2:E9)</f>
        <v>87666222.862892151</v>
      </c>
      <c r="F10" s="40">
        <f t="shared" ref="F10" si="2">SUM(F2:F9)</f>
        <v>94120715.618359834</v>
      </c>
      <c r="G10" s="40">
        <f t="shared" ref="G10" si="3">SUM(G2:G9)</f>
        <v>91520999.434827492</v>
      </c>
      <c r="H10" s="40">
        <f t="shared" ref="H10:I10" si="4">SUM(H2:H9)</f>
        <v>97362153.790125996</v>
      </c>
      <c r="I10" s="40">
        <f t="shared" si="4"/>
        <v>102178383.96519201</v>
      </c>
      <c r="J10" s="40">
        <f t="shared" ref="J10:K10" si="5">SUM(J2:J9)</f>
        <v>105903751.09836601</v>
      </c>
      <c r="K10" s="40">
        <f t="shared" si="5"/>
        <v>65039362.7061055</v>
      </c>
      <c r="L10" s="40">
        <f t="shared" ref="L10:M10" si="6">SUM(L2:L9)</f>
        <v>62231867.479469255</v>
      </c>
      <c r="M10" s="40">
        <f t="shared" si="6"/>
        <v>61551732.733109497</v>
      </c>
      <c r="N10" s="40">
        <f t="shared" ref="N10" si="7">SUM(N2:N9)</f>
        <v>56795714.698382013</v>
      </c>
    </row>
    <row r="12" spans="1:14">
      <c r="A12" s="34" t="s">
        <v>104</v>
      </c>
      <c r="B12" s="34" t="s">
        <v>105</v>
      </c>
      <c r="C12" s="37">
        <f>'Volume Gás Adquirido'!D40</f>
        <v>42297466</v>
      </c>
      <c r="D12" s="37">
        <f>'Volume Gás Adquirido'!E40</f>
        <v>39399590</v>
      </c>
      <c r="E12" s="37">
        <f>'Volume Gás Adquirido'!F40</f>
        <v>36446875</v>
      </c>
      <c r="F12" s="37">
        <f>'Volume Gás Adquirido'!G40</f>
        <v>39006505</v>
      </c>
      <c r="G12" s="37">
        <f>'Volume Gás Adquirido'!H40</f>
        <v>37880360.262999997</v>
      </c>
      <c r="H12" s="37">
        <f>'Volume Gás Adquirido'!I40</f>
        <v>39571306</v>
      </c>
      <c r="I12" s="37">
        <f>'Volume Gás Adquirido'!J40</f>
        <v>41819555</v>
      </c>
      <c r="J12" s="37">
        <f>'Volume Gás Adquirido'!K40</f>
        <v>43292845</v>
      </c>
      <c r="K12" s="37">
        <f>'Volume Gás Adquirido'!L40</f>
        <v>30028654</v>
      </c>
      <c r="L12" s="37">
        <f>'Volume Gás Adquirido'!M40</f>
        <v>28636449</v>
      </c>
      <c r="M12" s="37">
        <f>'Volume Gás Adquirido'!N40</f>
        <v>28486347</v>
      </c>
      <c r="N12" s="37">
        <f>'Volume Gás Adquirido'!O40</f>
        <v>25396973</v>
      </c>
    </row>
    <row r="13" spans="1:14">
      <c r="A13" s="34" t="s">
        <v>178</v>
      </c>
      <c r="B13" s="34" t="s">
        <v>179</v>
      </c>
      <c r="C13" s="46">
        <f t="shared" ref="C13:H13" si="8">C10/C12</f>
        <v>2.4568689711049188</v>
      </c>
      <c r="D13" s="46">
        <f t="shared" si="8"/>
        <v>2.4444572026211091</v>
      </c>
      <c r="E13" s="46">
        <f t="shared" si="8"/>
        <v>2.4053152118773462</v>
      </c>
      <c r="F13" s="46">
        <f t="shared" si="8"/>
        <v>2.4129492149670893</v>
      </c>
      <c r="G13" s="46">
        <f t="shared" si="8"/>
        <v>2.4160540923952483</v>
      </c>
      <c r="H13" s="46">
        <f t="shared" si="8"/>
        <v>2.460423059833456</v>
      </c>
      <c r="I13" s="46">
        <f t="shared" ref="I13:J13" si="9">I10/I12</f>
        <v>2.4433159072398549</v>
      </c>
      <c r="J13" s="46">
        <f t="shared" si="9"/>
        <v>2.4462183323448947</v>
      </c>
      <c r="K13" s="46">
        <f t="shared" ref="K13:L13" si="10">K10/K12</f>
        <v>2.1659100240092513</v>
      </c>
      <c r="L13" s="46">
        <f t="shared" si="10"/>
        <v>2.1731698465640505</v>
      </c>
      <c r="M13" s="46">
        <f t="shared" ref="M13:N13" si="11">M10/M12</f>
        <v>2.1607450310532794</v>
      </c>
      <c r="N13" s="46">
        <f t="shared" si="11"/>
        <v>2.236318269046552</v>
      </c>
    </row>
    <row r="15" spans="1:14">
      <c r="C15" s="3"/>
    </row>
    <row r="16" spans="1:14">
      <c r="C16" s="3"/>
      <c r="K16" s="3"/>
    </row>
    <row r="17" spans="3:11">
      <c r="C17" s="3"/>
    </row>
    <row r="18" spans="3:11">
      <c r="C18" s="3"/>
      <c r="I18" s="12"/>
      <c r="J18" s="12"/>
    </row>
    <row r="19" spans="3:11">
      <c r="C19" s="3"/>
      <c r="K19" s="3"/>
    </row>
    <row r="20" spans="3:11">
      <c r="C20" s="3"/>
    </row>
    <row r="21" spans="3:11">
      <c r="C21" s="3"/>
    </row>
    <row r="22" spans="3:11">
      <c r="C22" s="3"/>
    </row>
    <row r="23" spans="3:11">
      <c r="C23" s="3"/>
      <c r="K23" s="3"/>
    </row>
    <row r="24" spans="3:11">
      <c r="C24" s="3"/>
      <c r="K24" s="3"/>
    </row>
    <row r="25" spans="3:11">
      <c r="K25" s="3"/>
    </row>
    <row r="26" spans="3:11">
      <c r="K26" s="3"/>
    </row>
    <row r="28" spans="3:11">
      <c r="K28" s="3"/>
    </row>
  </sheetData>
  <sheetProtection algorithmName="SHA-512" hashValue="X5F3XD6FuQ0gq+JMvx1l+rW+/asqO2Vd+K2sp5SL/bZ+wKu+wpc+kY5Sor/AyYIbW4WwRoKjQVhQuAkOYxt1EQ==" saltValue="BzqUtXfv7OAZn15emr00VA==" spinCount="100000" sheet="1" objects="1" scenarios="1"/>
  <phoneticPr fontId="43" type="noConversion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</sheetPr>
  <dimension ref="A1:N39"/>
  <sheetViews>
    <sheetView workbookViewId="0">
      <pane xSplit="2" ySplit="1" topLeftCell="J2" activePane="bottomRight" state="frozen"/>
      <selection pane="topRight" activeCell="D1" sqref="D1"/>
      <selection pane="bottomLeft" activeCell="A2" sqref="A2"/>
      <selection pane="bottomRight"/>
    </sheetView>
  </sheetViews>
  <sheetFormatPr defaultRowHeight="14.5"/>
  <cols>
    <col min="1" max="1" width="7.7265625" bestFit="1" customWidth="1"/>
    <col min="2" max="2" width="43.90625" customWidth="1"/>
    <col min="3" max="3" width="12" customWidth="1"/>
    <col min="4" max="4" width="11.7265625" customWidth="1"/>
    <col min="5" max="5" width="11.453125" customWidth="1"/>
    <col min="6" max="8" width="11.6328125" customWidth="1"/>
    <col min="9" max="9" width="11.36328125" customWidth="1"/>
    <col min="10" max="12" width="10.90625" bestFit="1" customWidth="1"/>
    <col min="13" max="14" width="11.36328125" customWidth="1"/>
  </cols>
  <sheetData>
    <row r="1" spans="1:14">
      <c r="A1" s="34"/>
      <c r="B1" s="34" t="s">
        <v>180</v>
      </c>
      <c r="C1" s="38">
        <v>45627</v>
      </c>
      <c r="D1" s="38">
        <v>45658</v>
      </c>
      <c r="E1" s="38">
        <v>45689</v>
      </c>
      <c r="F1" s="38">
        <v>45717</v>
      </c>
      <c r="G1" s="38">
        <v>45748</v>
      </c>
      <c r="H1" s="38">
        <v>45778</v>
      </c>
      <c r="I1" s="38">
        <v>45809</v>
      </c>
      <c r="J1" s="38">
        <v>45839</v>
      </c>
      <c r="K1" s="38">
        <v>45870</v>
      </c>
      <c r="L1" s="38">
        <v>45901</v>
      </c>
      <c r="M1" s="38">
        <v>45931</v>
      </c>
      <c r="N1" s="38">
        <v>45962</v>
      </c>
    </row>
    <row r="2" spans="1:14">
      <c r="A2" t="s">
        <v>181</v>
      </c>
      <c r="B2" t="s">
        <v>182</v>
      </c>
      <c r="C2" s="23">
        <v>2.4731999999999998</v>
      </c>
      <c r="D2" s="23">
        <v>2.4731999999999998</v>
      </c>
      <c r="E2" s="23">
        <v>2.4731999999999998</v>
      </c>
      <c r="F2" s="23">
        <v>2.4731999999999998</v>
      </c>
      <c r="G2" s="23">
        <v>2.4731999999999998</v>
      </c>
      <c r="H2" s="23">
        <v>2.4731999999999998</v>
      </c>
      <c r="I2" s="23">
        <f>(10*2.4732+20*2.4814)/30</f>
        <v>2.4786666666666668</v>
      </c>
      <c r="J2" s="23">
        <v>2.4813999999999998</v>
      </c>
      <c r="K2" s="23">
        <v>2.4813999999999998</v>
      </c>
      <c r="L2" s="23">
        <v>2.4813999999999998</v>
      </c>
      <c r="M2" s="23">
        <v>2.4813999999999998</v>
      </c>
      <c r="N2" s="23">
        <v>2.4813999999999998</v>
      </c>
    </row>
    <row r="3" spans="1:14">
      <c r="A3" t="s">
        <v>183</v>
      </c>
      <c r="B3" t="s">
        <v>184</v>
      </c>
      <c r="C3" s="3">
        <f>'Volumes distribuídos'!D15</f>
        <v>42117026.690164268</v>
      </c>
      <c r="D3" s="3">
        <f>'Volumes distribuídos'!E15</f>
        <v>39243980.659811132</v>
      </c>
      <c r="E3" s="3">
        <f>'Volumes distribuídos'!F15</f>
        <v>36263563.28871987</v>
      </c>
      <c r="F3" s="3">
        <f>'Volumes distribuídos'!G15</f>
        <v>38896320.658578366</v>
      </c>
      <c r="G3" s="3">
        <f>'Volumes distribuídos'!H15</f>
        <v>37581350.04681018</v>
      </c>
      <c r="H3" s="3">
        <f>'Volumes distribuídos'!I15</f>
        <v>39237066.513693996</v>
      </c>
      <c r="I3" s="3">
        <f>'Volumes distribuídos'!J15</f>
        <v>42419610.0372032</v>
      </c>
      <c r="J3" s="3">
        <f>'Volumes distribuídos'!K15</f>
        <v>43128464.076202139</v>
      </c>
      <c r="K3" s="3">
        <f>'Volumes distribuídos'!L15</f>
        <v>29925077.958227035</v>
      </c>
      <c r="L3" s="3">
        <f>'Volumes distribuídos'!M15</f>
        <v>28698835.620987847</v>
      </c>
      <c r="M3" s="3">
        <f>'Volumes distribuídos'!N15</f>
        <v>28518729.030827913</v>
      </c>
      <c r="N3" s="3">
        <f>'Volumes distribuídos'!O15</f>
        <v>25652410.258585252</v>
      </c>
    </row>
    <row r="4" spans="1:14">
      <c r="A4" t="s">
        <v>185</v>
      </c>
      <c r="B4" t="s">
        <v>186</v>
      </c>
      <c r="C4" s="3">
        <f t="shared" ref="C4:F4" si="0">C2*C3</f>
        <v>104163830.41011426</v>
      </c>
      <c r="D4" s="3">
        <f t="shared" si="0"/>
        <v>97058212.967844889</v>
      </c>
      <c r="E4" s="3">
        <f t="shared" si="0"/>
        <v>89687044.725661978</v>
      </c>
      <c r="F4" s="3">
        <f t="shared" si="0"/>
        <v>96198380.252796009</v>
      </c>
      <c r="G4" s="3">
        <f t="shared" ref="G4:H4" si="1">G2*G3</f>
        <v>92946194.935770929</v>
      </c>
      <c r="H4" s="3">
        <f t="shared" si="1"/>
        <v>97041112.901667982</v>
      </c>
      <c r="I4" s="3">
        <f t="shared" ref="I4:K4" si="2">I2*I3</f>
        <v>105144073.41221434</v>
      </c>
      <c r="J4" s="3">
        <f t="shared" si="2"/>
        <v>107018970.75868799</v>
      </c>
      <c r="K4" s="3">
        <f t="shared" si="2"/>
        <v>74256088.445544556</v>
      </c>
      <c r="L4" s="3">
        <f t="shared" ref="L4" si="3">L2*L3</f>
        <v>71213290.709919244</v>
      </c>
      <c r="M4" s="3">
        <f t="shared" ref="M4:N4" si="4">M2*M3</f>
        <v>70766374.217096373</v>
      </c>
      <c r="N4" s="3">
        <f t="shared" si="4"/>
        <v>63653890.815653436</v>
      </c>
    </row>
    <row r="5" spans="1:14">
      <c r="A5" t="s">
        <v>187</v>
      </c>
      <c r="B5" t="s">
        <v>188</v>
      </c>
      <c r="C5" s="23">
        <f>1.7*C2</f>
        <v>4.20444</v>
      </c>
      <c r="D5" s="23">
        <f t="shared" ref="D5:K5" si="5">1.7*D2</f>
        <v>4.20444</v>
      </c>
      <c r="E5" s="23">
        <f t="shared" si="5"/>
        <v>4.20444</v>
      </c>
      <c r="F5" s="23">
        <f t="shared" si="5"/>
        <v>4.20444</v>
      </c>
      <c r="G5" s="23">
        <f t="shared" si="5"/>
        <v>4.20444</v>
      </c>
      <c r="H5" s="23">
        <f t="shared" si="5"/>
        <v>4.20444</v>
      </c>
      <c r="I5" s="23">
        <f t="shared" si="5"/>
        <v>4.2137333333333338</v>
      </c>
      <c r="J5" s="23">
        <f t="shared" si="5"/>
        <v>4.2183799999999998</v>
      </c>
      <c r="K5" s="23">
        <f t="shared" si="5"/>
        <v>4.2183799999999998</v>
      </c>
      <c r="L5" s="23">
        <f t="shared" ref="L5" si="6">1.7*L2</f>
        <v>4.2183799999999998</v>
      </c>
      <c r="M5" s="23">
        <f t="shared" ref="M5:N5" si="7">1.7*M2</f>
        <v>4.2183799999999998</v>
      </c>
      <c r="N5" s="23">
        <f t="shared" si="7"/>
        <v>4.2183799999999998</v>
      </c>
    </row>
    <row r="6" spans="1:14">
      <c r="A6" t="s">
        <v>189</v>
      </c>
      <c r="B6" t="s">
        <v>190</v>
      </c>
      <c r="C6" s="3">
        <f>'Volumes distribuídos'!D30</f>
        <v>140362.5</v>
      </c>
      <c r="D6" s="3">
        <f>'Volumes distribuídos'!E30</f>
        <v>0</v>
      </c>
      <c r="E6" s="3">
        <f>'Volumes distribuídos'!F30</f>
        <v>4449</v>
      </c>
      <c r="F6" s="3">
        <f>'Volumes distribuídos'!G30</f>
        <v>11192.75</v>
      </c>
      <c r="G6" s="3">
        <f>'Volumes distribuídos'!H30</f>
        <v>127494.25</v>
      </c>
      <c r="H6" s="3">
        <f>'Volumes distribuídos'!I30</f>
        <v>8753</v>
      </c>
      <c r="I6" s="3">
        <f>'Volumes distribuídos'!J30</f>
        <v>6601</v>
      </c>
      <c r="J6" s="3">
        <f>'Volumes distribuídos'!K30</f>
        <v>119050</v>
      </c>
      <c r="K6" s="3">
        <f>'Volumes distribuídos'!L30</f>
        <v>177829.85</v>
      </c>
      <c r="L6" s="3">
        <f>'Volumes distribuídos'!M30</f>
        <v>40972.399999999907</v>
      </c>
      <c r="M6" s="3">
        <f>'Volumes distribuídos'!N30</f>
        <v>9342.4269999999997</v>
      </c>
      <c r="N6" s="3">
        <f>'Volumes distribuídos'!O30</f>
        <v>15959.423000000001</v>
      </c>
    </row>
    <row r="7" spans="1:14">
      <c r="A7" t="s">
        <v>191</v>
      </c>
      <c r="B7" t="s">
        <v>192</v>
      </c>
      <c r="C7" s="3">
        <f t="shared" ref="C7:F7" si="8">C5*C6</f>
        <v>590145.7095</v>
      </c>
      <c r="D7" s="3">
        <f t="shared" si="8"/>
        <v>0</v>
      </c>
      <c r="E7" s="3">
        <f t="shared" si="8"/>
        <v>18705.55356</v>
      </c>
      <c r="F7" s="3">
        <f t="shared" si="8"/>
        <v>47059.24581</v>
      </c>
      <c r="G7" s="3">
        <f t="shared" ref="G7:H7" si="9">G5*G6</f>
        <v>536041.92446999997</v>
      </c>
      <c r="H7" s="3">
        <f t="shared" si="9"/>
        <v>36801.463320000003</v>
      </c>
      <c r="I7" s="3">
        <f t="shared" ref="I7:J7" si="10">I5*I6</f>
        <v>27814.853733333337</v>
      </c>
      <c r="J7" s="3">
        <f t="shared" si="10"/>
        <v>502198.13899999997</v>
      </c>
      <c r="K7" s="3">
        <f t="shared" ref="K7:N7" si="11">K5*K6</f>
        <v>750153.88264299999</v>
      </c>
      <c r="L7" s="3">
        <f t="shared" ref="L7:M7" si="12">L5*L6</f>
        <v>172837.1527119996</v>
      </c>
      <c r="M7" s="3">
        <f t="shared" si="12"/>
        <v>39409.907208259996</v>
      </c>
      <c r="N7" s="3">
        <f t="shared" si="11"/>
        <v>67322.910794740004</v>
      </c>
    </row>
    <row r="8" spans="1:14">
      <c r="A8" t="s">
        <v>193</v>
      </c>
      <c r="B8" t="s">
        <v>194</v>
      </c>
      <c r="C8" s="11"/>
      <c r="D8" s="11"/>
      <c r="E8" s="11"/>
      <c r="F8" s="11"/>
      <c r="G8" s="1"/>
      <c r="H8" s="1"/>
      <c r="I8" s="1"/>
    </row>
    <row r="9" spans="1:14">
      <c r="A9" s="34" t="s">
        <v>195</v>
      </c>
      <c r="B9" s="34" t="s">
        <v>196</v>
      </c>
      <c r="C9" s="37">
        <f t="shared" ref="C9:H9" si="13">SUM(C4,C7,C8)</f>
        <v>104753976.11961426</v>
      </c>
      <c r="D9" s="37">
        <f t="shared" si="13"/>
        <v>97058212.967844889</v>
      </c>
      <c r="E9" s="37">
        <f t="shared" si="13"/>
        <v>89705750.279221982</v>
      </c>
      <c r="F9" s="37">
        <f t="shared" si="13"/>
        <v>96245439.498606011</v>
      </c>
      <c r="G9" s="37">
        <f t="shared" si="13"/>
        <v>93482236.860240936</v>
      </c>
      <c r="H9" s="37">
        <f t="shared" si="13"/>
        <v>97077914.364987984</v>
      </c>
      <c r="I9" s="37">
        <f t="shared" ref="I9:K9" si="14">SUM(I4,I7,I8)</f>
        <v>105171888.26594767</v>
      </c>
      <c r="J9" s="37">
        <f t="shared" si="14"/>
        <v>107521168.89768799</v>
      </c>
      <c r="K9" s="37">
        <f t="shared" si="14"/>
        <v>75006242.328187555</v>
      </c>
      <c r="L9" s="37">
        <f>SUM(L4,L7,L8)</f>
        <v>71386127.862631246</v>
      </c>
      <c r="M9" s="37">
        <f>SUM(M4,M7,M8)</f>
        <v>70805784.124304637</v>
      </c>
      <c r="N9" s="37">
        <f>SUM(N4,N7,N8)</f>
        <v>63721213.726448178</v>
      </c>
    </row>
    <row r="10" spans="1:14">
      <c r="C10" s="11"/>
      <c r="D10" s="1"/>
      <c r="E10" s="1"/>
      <c r="F10" s="1"/>
      <c r="G10" s="1"/>
      <c r="H10" s="1"/>
      <c r="I10" s="1"/>
    </row>
    <row r="11" spans="1:14">
      <c r="C11" s="11"/>
      <c r="D11" s="1"/>
      <c r="E11" s="1"/>
      <c r="F11" s="1"/>
      <c r="G11" s="1"/>
      <c r="H11" s="1"/>
      <c r="I11" s="1"/>
    </row>
    <row r="12" spans="1:14">
      <c r="A12" t="s">
        <v>197</v>
      </c>
      <c r="B12" t="s">
        <v>198</v>
      </c>
      <c r="C12" s="23">
        <v>-0.14799999999999999</v>
      </c>
      <c r="D12" s="23">
        <v>-0.14799999999999999</v>
      </c>
      <c r="E12" s="23">
        <v>-0.14799999999999999</v>
      </c>
      <c r="F12" s="23">
        <v>-0.14799999999999999</v>
      </c>
      <c r="G12" s="23">
        <v>-0.14799999999999999</v>
      </c>
      <c r="H12" s="23">
        <v>-0.14799999999999999</v>
      </c>
      <c r="I12" s="23">
        <f>(10*-0.148+20*-0.0223)/30</f>
        <v>-6.4199999999999993E-2</v>
      </c>
      <c r="J12" s="23">
        <v>-2.23E-2</v>
      </c>
      <c r="K12" s="23">
        <v>-2.23E-2</v>
      </c>
      <c r="L12" s="23">
        <v>-2.23E-2</v>
      </c>
      <c r="M12" s="23">
        <v>-2.23E-2</v>
      </c>
      <c r="N12" s="23">
        <v>-2.23E-2</v>
      </c>
    </row>
    <row r="13" spans="1:14">
      <c r="A13" t="s">
        <v>183</v>
      </c>
      <c r="B13" t="s">
        <v>184</v>
      </c>
      <c r="C13" s="3">
        <f>'Volumes distribuídos'!D15</f>
        <v>42117026.690164268</v>
      </c>
      <c r="D13" s="3">
        <f>'Volumes distribuídos'!E15</f>
        <v>39243980.659811132</v>
      </c>
      <c r="E13" s="3">
        <f>'Volumes distribuídos'!F15</f>
        <v>36263563.28871987</v>
      </c>
      <c r="F13" s="3">
        <f>'Volumes distribuídos'!G15</f>
        <v>38896320.658578366</v>
      </c>
      <c r="G13" s="3">
        <f>'Volumes distribuídos'!H15</f>
        <v>37581350.04681018</v>
      </c>
      <c r="H13" s="3">
        <f>'Volumes distribuídos'!I15</f>
        <v>39237066.513693996</v>
      </c>
      <c r="I13" s="3">
        <f>'Volumes distribuídos'!J15</f>
        <v>42419610.0372032</v>
      </c>
      <c r="J13" s="3">
        <f>'Volumes distribuídos'!K15</f>
        <v>43128464.076202139</v>
      </c>
      <c r="K13" s="3">
        <f>'Volumes distribuídos'!L15</f>
        <v>29925077.958227035</v>
      </c>
      <c r="L13" s="3">
        <f>'Volumes distribuídos'!M15</f>
        <v>28698835.620987847</v>
      </c>
      <c r="M13" s="3">
        <f>'Volumes distribuídos'!N15</f>
        <v>28518729.030827913</v>
      </c>
      <c r="N13" s="3">
        <f>'Volumes distribuídos'!O15</f>
        <v>25652410.258585252</v>
      </c>
    </row>
    <row r="14" spans="1:14">
      <c r="A14" t="s">
        <v>199</v>
      </c>
      <c r="B14" t="s">
        <v>200</v>
      </c>
      <c r="C14" s="25">
        <v>1.7</v>
      </c>
      <c r="D14" s="25">
        <v>1.7</v>
      </c>
      <c r="E14" s="25">
        <v>1.7</v>
      </c>
      <c r="F14" s="25">
        <v>1.7</v>
      </c>
      <c r="G14" s="25">
        <v>1.7</v>
      </c>
      <c r="H14" s="25">
        <v>1.7</v>
      </c>
      <c r="I14" s="25">
        <v>1.7</v>
      </c>
      <c r="J14" s="25">
        <v>1.7</v>
      </c>
      <c r="K14" s="25">
        <v>1.7</v>
      </c>
      <c r="L14" s="25">
        <v>1.7</v>
      </c>
      <c r="M14" s="25">
        <v>1.7</v>
      </c>
      <c r="N14" s="25">
        <v>1.7</v>
      </c>
    </row>
    <row r="15" spans="1:14">
      <c r="A15" t="s">
        <v>189</v>
      </c>
      <c r="B15" t="s">
        <v>190</v>
      </c>
      <c r="C15" s="3">
        <f>'Volumes distribuídos'!D30</f>
        <v>140362.5</v>
      </c>
      <c r="D15" s="3">
        <f>'Volumes distribuídos'!E30</f>
        <v>0</v>
      </c>
      <c r="E15" s="3">
        <f>'Volumes distribuídos'!F30</f>
        <v>4449</v>
      </c>
      <c r="F15" s="3">
        <f>'Volumes distribuídos'!G30</f>
        <v>11192.75</v>
      </c>
      <c r="G15" s="3">
        <f>'Volumes distribuídos'!H30</f>
        <v>127494.25</v>
      </c>
      <c r="H15" s="3">
        <f>'Volumes distribuídos'!I30</f>
        <v>8753</v>
      </c>
      <c r="I15" s="3">
        <f>'Volumes distribuídos'!J30</f>
        <v>6601</v>
      </c>
      <c r="J15" s="3">
        <f>'Volumes distribuídos'!K30</f>
        <v>119050</v>
      </c>
      <c r="K15" s="3">
        <f>'Volumes distribuídos'!L30</f>
        <v>177829.85</v>
      </c>
      <c r="L15" s="3">
        <f>'Volumes distribuídos'!M30</f>
        <v>40972.399999999907</v>
      </c>
      <c r="M15" s="3">
        <f>'Volumes distribuídos'!N30</f>
        <v>9342.4269999999997</v>
      </c>
      <c r="N15" s="3">
        <f>'Volumes distribuídos'!O30</f>
        <v>15959.423000000001</v>
      </c>
    </row>
    <row r="16" spans="1:14">
      <c r="A16" t="s">
        <v>201</v>
      </c>
      <c r="B16" t="s">
        <v>202</v>
      </c>
      <c r="C16" s="3">
        <f t="shared" ref="C16:F16" si="15">(C12*C13)+(C14*C12*C15)</f>
        <v>-6268635.1551443115</v>
      </c>
      <c r="D16" s="3">
        <f t="shared" si="15"/>
        <v>-5808109.137652047</v>
      </c>
      <c r="E16" s="3">
        <f>(E12*E13)+(E14*E12*E15)</f>
        <v>-5368126.7351305401</v>
      </c>
      <c r="F16" s="3">
        <f t="shared" si="15"/>
        <v>-5759471.5533695975</v>
      </c>
      <c r="G16" s="3">
        <f t="shared" ref="G16:H16" si="16">(G12*G13)+(G14*G12*G15)</f>
        <v>-5594117.3602279061</v>
      </c>
      <c r="H16" s="3">
        <f t="shared" si="16"/>
        <v>-5809288.0988267111</v>
      </c>
      <c r="I16" s="3">
        <f t="shared" ref="I16:L16" si="17">(I12*I13)+(I14*I12*I15)</f>
        <v>-2724059.3975284449</v>
      </c>
      <c r="J16" s="3">
        <f t="shared" si="17"/>
        <v>-966277.93439930771</v>
      </c>
      <c r="K16" s="3">
        <f t="shared" si="17"/>
        <v>-674070.76808196283</v>
      </c>
      <c r="L16" s="3">
        <f t="shared" si="17"/>
        <v>-641537.29803202907</v>
      </c>
      <c r="M16" s="3">
        <f t="shared" ref="M16:N16" si="18">(M12*M13)+(M14*M12*M15)</f>
        <v>-636321.82879503246</v>
      </c>
      <c r="N16" s="3">
        <f t="shared" si="18"/>
        <v>-572653.77049238118</v>
      </c>
    </row>
    <row r="17" spans="1:14">
      <c r="C17" s="11"/>
      <c r="D17" s="11"/>
      <c r="E17" s="11"/>
      <c r="F17" s="11"/>
      <c r="G17" s="1"/>
      <c r="H17" s="1"/>
      <c r="I17" s="1"/>
    </row>
    <row r="18" spans="1:14">
      <c r="A18" s="34" t="s">
        <v>203</v>
      </c>
      <c r="B18" s="34" t="s">
        <v>204</v>
      </c>
      <c r="C18" s="43">
        <f t="shared" ref="C18:H18" si="19">SUM(C2,C12)</f>
        <v>2.3251999999999997</v>
      </c>
      <c r="D18" s="43">
        <f t="shared" si="19"/>
        <v>2.3251999999999997</v>
      </c>
      <c r="E18" s="43">
        <f t="shared" si="19"/>
        <v>2.3251999999999997</v>
      </c>
      <c r="F18" s="43">
        <f t="shared" si="19"/>
        <v>2.3251999999999997</v>
      </c>
      <c r="G18" s="43">
        <f t="shared" si="19"/>
        <v>2.3251999999999997</v>
      </c>
      <c r="H18" s="43">
        <f t="shared" si="19"/>
        <v>2.3251999999999997</v>
      </c>
      <c r="I18" s="43">
        <f t="shared" ref="I18:N18" si="20">SUM(I2,I12)</f>
        <v>2.4144666666666668</v>
      </c>
      <c r="J18" s="43">
        <f t="shared" si="20"/>
        <v>2.4590999999999998</v>
      </c>
      <c r="K18" s="43">
        <f t="shared" si="20"/>
        <v>2.4590999999999998</v>
      </c>
      <c r="L18" s="43">
        <f t="shared" si="20"/>
        <v>2.4590999999999998</v>
      </c>
      <c r="M18" s="43">
        <f t="shared" si="20"/>
        <v>2.4590999999999998</v>
      </c>
      <c r="N18" s="43">
        <f t="shared" si="20"/>
        <v>2.4590999999999998</v>
      </c>
    </row>
    <row r="19" spans="1:14">
      <c r="C19" s="1"/>
      <c r="D19" s="1"/>
      <c r="E19" s="1"/>
      <c r="F19" s="1"/>
      <c r="G19" s="1"/>
      <c r="H19" s="1"/>
    </row>
    <row r="21" spans="1:14">
      <c r="C21" s="3"/>
      <c r="D21" s="3"/>
      <c r="E21" s="3"/>
      <c r="F21" s="3"/>
      <c r="G21" s="3"/>
      <c r="H21" s="3"/>
      <c r="I21" s="3"/>
      <c r="J21" s="3"/>
      <c r="K21" s="3"/>
      <c r="L21" s="3"/>
      <c r="N21" s="3"/>
    </row>
    <row r="23" spans="1:14">
      <c r="C23" s="76"/>
      <c r="D23" s="76"/>
      <c r="E23" s="76"/>
      <c r="F23" s="76"/>
      <c r="G23" s="76"/>
      <c r="H23" s="76"/>
      <c r="I23" s="76"/>
      <c r="J23" s="76"/>
      <c r="K23" s="76"/>
      <c r="L23" s="76"/>
      <c r="N23" s="3"/>
    </row>
    <row r="24" spans="1:14">
      <c r="C24" s="76"/>
      <c r="D24" s="76"/>
      <c r="E24" s="76"/>
      <c r="F24" s="76"/>
      <c r="G24" s="76"/>
      <c r="H24" s="76"/>
      <c r="I24" s="76"/>
      <c r="J24" s="76"/>
      <c r="K24" s="76"/>
      <c r="L24" s="76"/>
    </row>
    <row r="25" spans="1:14">
      <c r="C25" s="76"/>
      <c r="D25" s="76"/>
      <c r="E25" s="76"/>
      <c r="F25" s="76"/>
      <c r="G25" s="76"/>
      <c r="H25" s="76"/>
      <c r="I25" s="76"/>
      <c r="J25" s="76"/>
      <c r="K25" s="76"/>
      <c r="L25" s="76"/>
    </row>
    <row r="26" spans="1:14">
      <c r="C26" s="76"/>
      <c r="D26" s="76"/>
      <c r="E26" s="76"/>
      <c r="F26" s="76"/>
      <c r="G26" s="76"/>
      <c r="H26" s="76"/>
      <c r="I26" s="76"/>
      <c r="J26" s="76"/>
      <c r="K26" s="76"/>
      <c r="L26" s="76"/>
    </row>
    <row r="27" spans="1:14">
      <c r="C27" s="76"/>
      <c r="D27" s="76"/>
      <c r="E27" s="76"/>
      <c r="F27" s="76"/>
      <c r="G27" s="76"/>
      <c r="H27" s="76"/>
      <c r="I27" s="76"/>
      <c r="J27" s="76"/>
      <c r="K27" s="76"/>
      <c r="L27" s="76"/>
    </row>
    <row r="28" spans="1:14">
      <c r="C28" s="76"/>
      <c r="D28" s="76"/>
      <c r="E28" s="76"/>
      <c r="F28" s="76"/>
      <c r="G28" s="76"/>
      <c r="H28" s="76"/>
      <c r="I28" s="76"/>
      <c r="J28" s="76"/>
      <c r="K28" s="76"/>
      <c r="L28" s="76"/>
    </row>
    <row r="29" spans="1:14">
      <c r="C29" s="76"/>
      <c r="D29" s="76"/>
      <c r="E29" s="76"/>
      <c r="F29" s="76"/>
      <c r="G29" s="76"/>
      <c r="H29" s="76"/>
      <c r="I29" s="76"/>
      <c r="J29" s="76"/>
      <c r="K29" s="76"/>
      <c r="L29" s="76"/>
    </row>
    <row r="30" spans="1:14">
      <c r="C30" s="76"/>
      <c r="D30" s="76"/>
      <c r="E30" s="76"/>
      <c r="F30" s="76"/>
      <c r="G30" s="76"/>
      <c r="H30" s="76"/>
      <c r="I30" s="76"/>
      <c r="J30" s="76"/>
      <c r="K30" s="76"/>
      <c r="L30" s="76"/>
    </row>
    <row r="31" spans="1:14">
      <c r="C31" s="76"/>
      <c r="D31" s="76"/>
      <c r="E31" s="76"/>
      <c r="F31" s="76"/>
      <c r="G31" s="76"/>
      <c r="H31" s="76"/>
      <c r="I31" s="76"/>
      <c r="J31" s="76"/>
      <c r="K31" s="76"/>
      <c r="L31" s="76"/>
    </row>
    <row r="32" spans="1:14">
      <c r="C32" s="76"/>
      <c r="D32" s="76"/>
      <c r="E32" s="76"/>
      <c r="F32" s="76"/>
      <c r="G32" s="76"/>
      <c r="H32" s="76"/>
      <c r="I32" s="76"/>
      <c r="J32" s="76"/>
      <c r="K32" s="76"/>
      <c r="L32" s="76"/>
    </row>
    <row r="33" spans="3:12">
      <c r="C33" s="76"/>
      <c r="D33" s="76"/>
      <c r="E33" s="76"/>
      <c r="F33" s="76"/>
      <c r="G33" s="76"/>
      <c r="H33" s="76"/>
      <c r="I33" s="76"/>
      <c r="J33" s="76"/>
      <c r="K33" s="76"/>
      <c r="L33" s="76"/>
    </row>
    <row r="34" spans="3:12"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3:12"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3:12"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3:12"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3:12"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3:12">
      <c r="C39" s="3"/>
      <c r="D39" s="3"/>
      <c r="E39" s="3"/>
      <c r="F39" s="3"/>
      <c r="G39" s="3"/>
      <c r="H39" s="3"/>
      <c r="I39" s="3"/>
      <c r="J39" s="3"/>
      <c r="K39" s="3"/>
      <c r="L39" s="3"/>
    </row>
  </sheetData>
  <sheetProtection algorithmName="SHA-512" hashValue="/tUbHKteBJFU4kir8RX/m493o6/8l0q5o99lf31HwKhmWkUV6iMnoYBfTsfAqAVQnacn+khEumtKDlh9dXgU9w==" saltValue="UWRYt58pnpg57XJTRrodfA==" spinCount="100000" sheet="1" objects="1" scenarios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79998168889431442"/>
  </sheetPr>
  <dimension ref="A1:U43"/>
  <sheetViews>
    <sheetView zoomScale="80" zoomScaleNormal="80" workbookViewId="0">
      <pane xSplit="3" ySplit="1" topLeftCell="J2" activePane="bottomRight" state="frozen"/>
      <selection pane="topRight" activeCell="E1" sqref="E1"/>
      <selection pane="bottomLeft" activeCell="A2" sqref="A2"/>
      <selection pane="bottomRight"/>
    </sheetView>
  </sheetViews>
  <sheetFormatPr defaultRowHeight="14.5"/>
  <cols>
    <col min="1" max="1" width="20.26953125" bestFit="1" customWidth="1"/>
    <col min="3" max="3" width="45" customWidth="1"/>
    <col min="4" max="9" width="11.7265625" customWidth="1"/>
    <col min="10" max="15" width="11.6328125" customWidth="1"/>
  </cols>
  <sheetData>
    <row r="1" spans="1:21" s="10" customFormat="1">
      <c r="A1"/>
      <c r="B1"/>
      <c r="C1"/>
      <c r="D1" s="38">
        <v>45627</v>
      </c>
      <c r="E1" s="38">
        <v>45658</v>
      </c>
      <c r="F1" s="38">
        <v>45689</v>
      </c>
      <c r="G1" s="38">
        <v>45717</v>
      </c>
      <c r="H1" s="38">
        <v>45748</v>
      </c>
      <c r="I1" s="38">
        <v>45778</v>
      </c>
      <c r="J1" s="38">
        <v>45809</v>
      </c>
      <c r="K1" s="38">
        <v>45839</v>
      </c>
      <c r="L1" s="38">
        <v>45870</v>
      </c>
      <c r="M1" s="38">
        <v>45901</v>
      </c>
      <c r="N1" s="38">
        <v>45931</v>
      </c>
      <c r="O1" s="38">
        <v>45962</v>
      </c>
    </row>
    <row r="2" spans="1:21" s="7" customFormat="1">
      <c r="A2" t="s">
        <v>4</v>
      </c>
      <c r="B2" t="s">
        <v>205</v>
      </c>
      <c r="C2" s="7" t="s">
        <v>206</v>
      </c>
      <c r="D2" s="51">
        <f t="shared" ref="D2:I2" si="0">SUM(D3:D4)</f>
        <v>35404471.0096296</v>
      </c>
      <c r="E2" s="51">
        <f t="shared" si="0"/>
        <v>33254678.512314297</v>
      </c>
      <c r="F2" s="51">
        <f t="shared" si="0"/>
        <v>30536815.926804699</v>
      </c>
      <c r="G2" s="51">
        <f t="shared" si="0"/>
        <v>32661903.6708082</v>
      </c>
      <c r="H2" s="51">
        <f t="shared" si="0"/>
        <v>30999892.773801003</v>
      </c>
      <c r="I2" s="51">
        <f t="shared" si="0"/>
        <v>32276910.141737498</v>
      </c>
      <c r="J2" s="51">
        <f t="shared" ref="J2:O2" si="1">SUM(J3:J4)</f>
        <v>35197053.645717204</v>
      </c>
      <c r="K2" s="51">
        <f t="shared" si="1"/>
        <v>35427563.048369803</v>
      </c>
      <c r="L2" s="51">
        <f t="shared" si="1"/>
        <v>22392849.409009002</v>
      </c>
      <c r="M2" s="51">
        <f t="shared" si="1"/>
        <v>21754612.305977371</v>
      </c>
      <c r="N2" s="51">
        <f t="shared" si="1"/>
        <v>21735420.321687337</v>
      </c>
      <c r="O2" s="51">
        <f t="shared" si="1"/>
        <v>19914659.545556821</v>
      </c>
      <c r="P2" s="51"/>
      <c r="Q2" s="51"/>
      <c r="R2" s="51"/>
      <c r="S2" s="51"/>
      <c r="T2" s="51"/>
      <c r="U2" s="51"/>
    </row>
    <row r="3" spans="1:21">
      <c r="A3" t="s">
        <v>4</v>
      </c>
      <c r="B3" t="s">
        <v>207</v>
      </c>
      <c r="C3" t="s">
        <v>208</v>
      </c>
      <c r="D3" s="3">
        <f>35511755.6544396-D18</f>
        <v>35371393.154439598</v>
      </c>
      <c r="E3" s="3">
        <f>33220720.6440923-E18</f>
        <v>33220720.644092299</v>
      </c>
      <c r="F3" s="3">
        <f>30515009.0833507-F18</f>
        <v>30510560.083350699</v>
      </c>
      <c r="G3" s="3">
        <f>32646515.9155402-G18</f>
        <v>32635323.1655402</v>
      </c>
      <c r="H3" s="3">
        <f>31097745.817393-H18</f>
        <v>30970251.567393001</v>
      </c>
      <c r="I3" s="3">
        <f>32250946.9664385-I18</f>
        <v>32242193.966438498</v>
      </c>
      <c r="J3" s="3">
        <f>35178359.1102622-J18</f>
        <v>35171758.1102622</v>
      </c>
      <c r="K3" s="3">
        <f>35510858.2810418-K18</f>
        <v>35391808.281041801</v>
      </c>
      <c r="L3" s="3">
        <f>22532815.520761-L18</f>
        <v>22354985.670761</v>
      </c>
      <c r="M3" s="3">
        <f>21763167.1155617-M18</f>
        <v>21722194.715561703</v>
      </c>
      <c r="N3" s="76">
        <f>20505849.66+5336566.4-4123257.29-N18</f>
        <v>21709816.343000002</v>
      </c>
      <c r="O3" s="3">
        <v>19880276.193096932</v>
      </c>
      <c r="P3" s="3"/>
      <c r="Q3" s="3"/>
      <c r="R3" s="3"/>
      <c r="S3" s="3"/>
      <c r="T3" s="3"/>
      <c r="U3" s="3"/>
    </row>
    <row r="4" spans="1:21">
      <c r="A4" t="s">
        <v>4</v>
      </c>
      <c r="B4" t="s">
        <v>207</v>
      </c>
      <c r="C4" t="s">
        <v>209</v>
      </c>
      <c r="D4" s="3">
        <v>33077.855190000002</v>
      </c>
      <c r="E4" s="3">
        <v>33957.868221999997</v>
      </c>
      <c r="F4" s="3">
        <v>26255.843453999998</v>
      </c>
      <c r="G4" s="3">
        <v>26580.505267999997</v>
      </c>
      <c r="H4" s="3">
        <v>29641.206407999998</v>
      </c>
      <c r="I4" s="3">
        <v>34716.175299000002</v>
      </c>
      <c r="J4" s="3">
        <v>25295.535455000001</v>
      </c>
      <c r="K4" s="3">
        <v>35754.767327999994</v>
      </c>
      <c r="L4" s="3">
        <v>37863.738248000001</v>
      </c>
      <c r="M4" s="3">
        <v>32417.590415666702</v>
      </c>
      <c r="N4" s="3">
        <v>25603.9786873333</v>
      </c>
      <c r="O4" s="3">
        <v>34383.352459887916</v>
      </c>
      <c r="P4" s="3"/>
      <c r="Q4" s="3"/>
      <c r="R4" s="3"/>
      <c r="S4" s="3"/>
      <c r="T4" s="3"/>
      <c r="U4" s="3"/>
    </row>
    <row r="5" spans="1:21" s="7" customFormat="1">
      <c r="A5" t="s">
        <v>4</v>
      </c>
      <c r="B5" t="s">
        <v>205</v>
      </c>
      <c r="C5" s="7" t="s">
        <v>210</v>
      </c>
      <c r="D5" s="51">
        <f t="shared" ref="D5:L5" si="2">SUM(D6:D8)</f>
        <v>4153845.8655086672</v>
      </c>
      <c r="E5" s="51">
        <f t="shared" si="2"/>
        <v>3759668.0096246647</v>
      </c>
      <c r="F5" s="51">
        <f t="shared" si="2"/>
        <v>3747089.1339216679</v>
      </c>
      <c r="G5" s="51">
        <f t="shared" si="2"/>
        <v>3984943.0713456674</v>
      </c>
      <c r="H5" s="51">
        <f t="shared" si="2"/>
        <v>3841087.1820833329</v>
      </c>
      <c r="I5" s="51">
        <f t="shared" si="2"/>
        <v>3856346.7092156657</v>
      </c>
      <c r="J5" s="51">
        <f t="shared" si="2"/>
        <v>3556139.8346713348</v>
      </c>
      <c r="K5" s="51">
        <f t="shared" si="2"/>
        <v>3722763.6741213333</v>
      </c>
      <c r="L5" s="51">
        <f t="shared" si="2"/>
        <v>3669369.3797483342</v>
      </c>
      <c r="M5" s="51">
        <f t="shared" ref="M5:O5" si="3">SUM(M6:M8)</f>
        <v>3537577.4595183334</v>
      </c>
      <c r="N5" s="51">
        <f t="shared" si="3"/>
        <v>3755392.9693767321</v>
      </c>
      <c r="O5" s="51">
        <f t="shared" si="3"/>
        <v>3145647.2152983276</v>
      </c>
      <c r="P5" s="51"/>
      <c r="Q5" s="51"/>
      <c r="R5" s="51"/>
      <c r="S5" s="51"/>
      <c r="T5" s="51"/>
      <c r="U5" s="51"/>
    </row>
    <row r="6" spans="1:21">
      <c r="A6" t="s">
        <v>4</v>
      </c>
      <c r="B6" t="s">
        <v>207</v>
      </c>
      <c r="C6" t="s">
        <v>211</v>
      </c>
      <c r="D6" s="3">
        <v>3754145.8242530008</v>
      </c>
      <c r="E6" s="3">
        <v>3305215.134937332</v>
      </c>
      <c r="F6" s="3">
        <v>3349949.483378334</v>
      </c>
      <c r="G6" s="3">
        <v>3609965.9938100004</v>
      </c>
      <c r="H6" s="3">
        <v>3511383.0772279999</v>
      </c>
      <c r="I6" s="3">
        <v>3551275.7652279995</v>
      </c>
      <c r="J6" s="3">
        <v>3264190.9934470006</v>
      </c>
      <c r="K6" s="3">
        <v>3414034.8484710003</v>
      </c>
      <c r="L6" s="3">
        <v>3343042.3108983338</v>
      </c>
      <c r="M6" s="3">
        <v>3229090.5343836667</v>
      </c>
      <c r="N6" s="3">
        <v>3411886.9668709044</v>
      </c>
      <c r="O6" s="3">
        <v>2781409.449792183</v>
      </c>
      <c r="P6" s="3"/>
      <c r="Q6" s="3"/>
      <c r="R6" s="3"/>
      <c r="S6" s="3"/>
      <c r="T6" s="3"/>
      <c r="U6" s="3"/>
    </row>
    <row r="7" spans="1:21">
      <c r="A7" t="s">
        <v>4</v>
      </c>
      <c r="B7" t="s">
        <v>207</v>
      </c>
      <c r="C7" t="s">
        <v>212</v>
      </c>
      <c r="D7" s="3">
        <v>14963.476525333102</v>
      </c>
      <c r="E7" s="3">
        <v>16363.633878999997</v>
      </c>
      <c r="F7" s="3">
        <v>14268.2085453337</v>
      </c>
      <c r="G7" s="3">
        <v>17233.287205333199</v>
      </c>
      <c r="H7" s="3">
        <v>18710</v>
      </c>
      <c r="I7" s="3">
        <v>18558</v>
      </c>
      <c r="J7" s="3">
        <v>17906</v>
      </c>
      <c r="K7" s="3">
        <v>18090</v>
      </c>
      <c r="L7" s="3">
        <v>16846</v>
      </c>
      <c r="M7" s="3">
        <v>17131.2145673333</v>
      </c>
      <c r="N7" s="3">
        <v>16162.740432666702</v>
      </c>
      <c r="O7" s="3">
        <v>14286.549929595634</v>
      </c>
      <c r="P7" s="3"/>
      <c r="Q7" s="3"/>
      <c r="R7" s="3"/>
      <c r="S7" s="3"/>
      <c r="T7" s="3"/>
      <c r="U7" s="3"/>
    </row>
    <row r="8" spans="1:21">
      <c r="A8" t="s">
        <v>4</v>
      </c>
      <c r="B8" t="s">
        <v>207</v>
      </c>
      <c r="C8" t="s">
        <v>213</v>
      </c>
      <c r="D8" s="3">
        <v>384736.56473033316</v>
      </c>
      <c r="E8" s="3">
        <v>438089.24080833304</v>
      </c>
      <c r="F8" s="3">
        <v>382871.4419980002</v>
      </c>
      <c r="G8" s="3">
        <v>357743.79033033364</v>
      </c>
      <c r="H8" s="3">
        <v>310994.10485533311</v>
      </c>
      <c r="I8" s="3">
        <v>286512.94398766622</v>
      </c>
      <c r="J8" s="3">
        <v>274042.8412243342</v>
      </c>
      <c r="K8" s="3">
        <v>290638.82565033273</v>
      </c>
      <c r="L8" s="3">
        <v>309481.06885000027</v>
      </c>
      <c r="M8" s="3">
        <v>291355.71056733321</v>
      </c>
      <c r="N8" s="3">
        <v>327343.26207316102</v>
      </c>
      <c r="O8" s="3">
        <v>349951.215576549</v>
      </c>
      <c r="P8" s="3"/>
      <c r="Q8" s="3"/>
      <c r="R8" s="3"/>
      <c r="S8" s="3"/>
      <c r="T8" s="3"/>
      <c r="U8" s="3"/>
    </row>
    <row r="9" spans="1:21" s="7" customFormat="1">
      <c r="A9" t="s">
        <v>4</v>
      </c>
      <c r="B9" t="s">
        <v>205</v>
      </c>
      <c r="C9" s="7" t="s">
        <v>214</v>
      </c>
      <c r="D9" s="51">
        <f t="shared" ref="D9:L9" si="4">SUM(D10:D12)</f>
        <v>824875.78525082674</v>
      </c>
      <c r="E9" s="51">
        <f t="shared" si="4"/>
        <v>661603.71325116383</v>
      </c>
      <c r="F9" s="51">
        <f t="shared" si="4"/>
        <v>540630.39557566785</v>
      </c>
      <c r="G9" s="51">
        <f t="shared" si="4"/>
        <v>701641.11928765906</v>
      </c>
      <c r="H9" s="51">
        <f t="shared" si="4"/>
        <v>1003584.0749315065</v>
      </c>
      <c r="I9" s="51">
        <f t="shared" si="4"/>
        <v>1248960.3416626737</v>
      </c>
      <c r="J9" s="51">
        <f t="shared" si="4"/>
        <v>1651204.9492933282</v>
      </c>
      <c r="K9" s="51">
        <f t="shared" si="4"/>
        <v>1795169.3584694916</v>
      </c>
      <c r="L9" s="51">
        <f t="shared" si="4"/>
        <v>1711290.3345127031</v>
      </c>
      <c r="M9" s="51">
        <f t="shared" ref="M9:O9" si="5">SUM(M10:M12)</f>
        <v>1456985.0950389788</v>
      </c>
      <c r="N9" s="51">
        <f t="shared" si="5"/>
        <v>1243757.3508307151</v>
      </c>
      <c r="O9" s="51">
        <f t="shared" si="5"/>
        <v>1210205.164187033</v>
      </c>
      <c r="P9" s="51"/>
      <c r="Q9" s="51"/>
      <c r="R9" s="51"/>
      <c r="S9" s="51"/>
      <c r="T9" s="51"/>
      <c r="U9" s="51"/>
    </row>
    <row r="10" spans="1:21">
      <c r="A10" t="s">
        <v>4</v>
      </c>
      <c r="B10" t="s">
        <v>207</v>
      </c>
      <c r="C10" s="6" t="s">
        <v>215</v>
      </c>
      <c r="D10" s="3">
        <v>821811.8432121611</v>
      </c>
      <c r="E10" s="3">
        <v>659305.2865458302</v>
      </c>
      <c r="F10" s="3">
        <v>538890.14529300097</v>
      </c>
      <c r="G10" s="3">
        <v>700614.68665665842</v>
      </c>
      <c r="H10" s="3">
        <v>1000158.8153725077</v>
      </c>
      <c r="I10" s="3">
        <v>1244839.923924007</v>
      </c>
      <c r="J10" s="3">
        <v>1645460.7892009951</v>
      </c>
      <c r="K10" s="3">
        <v>1788447.7495048242</v>
      </c>
      <c r="L10" s="3">
        <v>1704628.3478638707</v>
      </c>
      <c r="M10" s="3">
        <v>1448046.3074786467</v>
      </c>
      <c r="N10" s="3">
        <v>1235848.4140786503</v>
      </c>
      <c r="O10" s="3">
        <v>1202826.6389865587</v>
      </c>
      <c r="P10" s="3"/>
      <c r="Q10" s="3"/>
      <c r="R10" s="3"/>
      <c r="S10" s="3"/>
      <c r="T10" s="3"/>
      <c r="U10" s="3"/>
    </row>
    <row r="11" spans="1:21">
      <c r="A11" t="s">
        <v>4</v>
      </c>
      <c r="B11" t="s">
        <v>207</v>
      </c>
      <c r="C11" s="6" t="s">
        <v>216</v>
      </c>
      <c r="D11" s="3">
        <v>3063.9420386655993</v>
      </c>
      <c r="E11" s="3">
        <v>2298.4267053336007</v>
      </c>
      <c r="F11" s="3">
        <v>1740.2502826669001</v>
      </c>
      <c r="G11" s="3">
        <v>1026.4326310005999</v>
      </c>
      <c r="H11" s="3">
        <v>3425.2595589989014</v>
      </c>
      <c r="I11" s="3">
        <v>4120.4177386666997</v>
      </c>
      <c r="J11" s="3">
        <v>5744.1600923330025</v>
      </c>
      <c r="K11" s="3">
        <v>6721.6089646674991</v>
      </c>
      <c r="L11" s="3">
        <v>5830.3858143324987</v>
      </c>
      <c r="M11" s="3">
        <v>5043.1075576663006</v>
      </c>
      <c r="N11" s="3">
        <v>4508.3778650929225</v>
      </c>
      <c r="O11" s="3">
        <v>3764.1447553560852</v>
      </c>
      <c r="P11" s="3"/>
      <c r="Q11" s="3"/>
      <c r="R11" s="3"/>
      <c r="S11" s="3"/>
      <c r="T11" s="3"/>
      <c r="U11" s="3"/>
    </row>
    <row r="12" spans="1:21">
      <c r="A12" t="s">
        <v>4</v>
      </c>
      <c r="B12" t="s">
        <v>207</v>
      </c>
      <c r="C12" s="6" t="s">
        <v>217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831.60083450000002</v>
      </c>
      <c r="M12" s="3">
        <v>3895.680002665802</v>
      </c>
      <c r="N12" s="3">
        <v>3400.5588869721305</v>
      </c>
      <c r="O12" s="3">
        <v>3614.3804451183805</v>
      </c>
      <c r="P12" s="3"/>
      <c r="Q12" s="3"/>
      <c r="R12" s="3"/>
      <c r="S12" s="3"/>
      <c r="T12" s="3"/>
      <c r="U12" s="3"/>
    </row>
    <row r="13" spans="1:21" s="7" customFormat="1">
      <c r="A13" t="s">
        <v>4</v>
      </c>
      <c r="B13" t="s">
        <v>205</v>
      </c>
      <c r="C13" s="7" t="s">
        <v>218</v>
      </c>
      <c r="D13" s="51">
        <v>1377025.1121541681</v>
      </c>
      <c r="E13" s="51">
        <v>1274839.5772456666</v>
      </c>
      <c r="F13" s="51">
        <v>1154671.2577401677</v>
      </c>
      <c r="G13" s="51">
        <v>1313144.5753103346</v>
      </c>
      <c r="H13" s="51">
        <v>1474021.8914308297</v>
      </c>
      <c r="I13" s="51">
        <v>1627248.9006084944</v>
      </c>
      <c r="J13" s="51">
        <v>1880234.6937490017</v>
      </c>
      <c r="K13" s="51">
        <v>1934741.6265625074</v>
      </c>
      <c r="L13" s="51">
        <v>1916705.219155329</v>
      </c>
      <c r="M13" s="51">
        <v>1693298.6533219973</v>
      </c>
      <c r="N13" s="51">
        <v>1553803.9250871344</v>
      </c>
      <c r="O13" s="51">
        <v>1117297.9905813902</v>
      </c>
      <c r="P13" s="51"/>
      <c r="Q13" s="51"/>
      <c r="R13" s="51"/>
      <c r="S13" s="51"/>
      <c r="T13" s="51"/>
      <c r="U13" s="51"/>
    </row>
    <row r="14" spans="1:21" s="7" customFormat="1">
      <c r="A14" t="s">
        <v>4</v>
      </c>
      <c r="B14" t="s">
        <v>205</v>
      </c>
      <c r="C14" s="8" t="s">
        <v>219</v>
      </c>
      <c r="D14" s="51">
        <v>356808.9176209998</v>
      </c>
      <c r="E14" s="51">
        <v>293190.84737533313</v>
      </c>
      <c r="F14" s="51">
        <v>284356.57467766682</v>
      </c>
      <c r="G14" s="51">
        <v>234688.22182649974</v>
      </c>
      <c r="H14" s="51">
        <v>262764.12456349999</v>
      </c>
      <c r="I14" s="51">
        <v>227600.42046966715</v>
      </c>
      <c r="J14" s="51">
        <v>134976.91377233309</v>
      </c>
      <c r="K14" s="51">
        <v>248226.36867899899</v>
      </c>
      <c r="L14" s="51">
        <v>234863.61580166771</v>
      </c>
      <c r="M14" s="51">
        <v>256362.10713116641</v>
      </c>
      <c r="N14" s="51">
        <v>230354.46384599447</v>
      </c>
      <c r="O14" s="51">
        <v>264600.34296167962</v>
      </c>
      <c r="P14" s="51"/>
      <c r="Q14" s="51"/>
      <c r="R14" s="51"/>
      <c r="S14" s="51"/>
      <c r="T14" s="51"/>
      <c r="U14" s="51"/>
    </row>
    <row r="15" spans="1:21" s="7" customFormat="1">
      <c r="A15" t="s">
        <v>4</v>
      </c>
      <c r="B15" t="s">
        <v>183</v>
      </c>
      <c r="C15" s="7" t="s">
        <v>184</v>
      </c>
      <c r="D15" s="51">
        <f t="shared" ref="D15:G15" si="6">SUM(D2,D5,D9,D13,D14)</f>
        <v>42117026.690164268</v>
      </c>
      <c r="E15" s="51">
        <f t="shared" si="6"/>
        <v>39243980.659811132</v>
      </c>
      <c r="F15" s="51">
        <f t="shared" si="6"/>
        <v>36263563.28871987</v>
      </c>
      <c r="G15" s="51">
        <f t="shared" si="6"/>
        <v>38896320.658578366</v>
      </c>
      <c r="H15" s="51">
        <f t="shared" ref="H15:I15" si="7">SUM(H2,H5,H9,H13,H14)</f>
        <v>37581350.04681018</v>
      </c>
      <c r="I15" s="51">
        <f t="shared" si="7"/>
        <v>39237066.513693996</v>
      </c>
      <c r="J15" s="51">
        <f t="shared" ref="J15:O15" si="8">SUM(J2,J5,J9,J13,J14)</f>
        <v>42419610.0372032</v>
      </c>
      <c r="K15" s="51">
        <f t="shared" si="8"/>
        <v>43128464.076202139</v>
      </c>
      <c r="L15" s="51">
        <f t="shared" si="8"/>
        <v>29925077.958227035</v>
      </c>
      <c r="M15" s="51">
        <f t="shared" si="8"/>
        <v>28698835.620987847</v>
      </c>
      <c r="N15" s="51">
        <f t="shared" si="8"/>
        <v>28518729.030827913</v>
      </c>
      <c r="O15" s="51">
        <f t="shared" si="8"/>
        <v>25652410.258585252</v>
      </c>
      <c r="P15" s="51"/>
      <c r="Q15" s="51"/>
      <c r="R15" s="51"/>
      <c r="S15" s="51"/>
      <c r="T15" s="51"/>
      <c r="U15" s="51"/>
    </row>
    <row r="17" spans="1:21" s="7" customFormat="1">
      <c r="A17" t="s">
        <v>26</v>
      </c>
      <c r="B17" s="7" t="s">
        <v>220</v>
      </c>
      <c r="C17" s="7" t="s">
        <v>206</v>
      </c>
      <c r="D17" s="51">
        <f t="shared" ref="D17:G17" si="9">SUM(D18:D19)</f>
        <v>140362.5</v>
      </c>
      <c r="E17" s="51">
        <f t="shared" si="9"/>
        <v>0</v>
      </c>
      <c r="F17" s="51">
        <f t="shared" si="9"/>
        <v>4449</v>
      </c>
      <c r="G17" s="51">
        <f t="shared" si="9"/>
        <v>11192.75</v>
      </c>
      <c r="H17" s="51">
        <f t="shared" ref="H17:I17" si="10">SUM(H18:H19)</f>
        <v>127494.25</v>
      </c>
      <c r="I17" s="51">
        <f t="shared" si="10"/>
        <v>8753</v>
      </c>
      <c r="J17" s="51">
        <f t="shared" ref="J17:O17" si="11">SUM(J18:J19)</f>
        <v>6601</v>
      </c>
      <c r="K17" s="51">
        <f t="shared" si="11"/>
        <v>119050</v>
      </c>
      <c r="L17" s="51">
        <f t="shared" si="11"/>
        <v>177829.85</v>
      </c>
      <c r="M17" s="51">
        <f>SUM(M18:M19)</f>
        <v>40972.399999999907</v>
      </c>
      <c r="N17" s="51">
        <f t="shared" si="11"/>
        <v>9342.4269999999997</v>
      </c>
      <c r="O17" s="51">
        <f t="shared" si="11"/>
        <v>15959.423000000001</v>
      </c>
      <c r="P17" s="51"/>
      <c r="Q17" s="51"/>
      <c r="R17" s="51"/>
      <c r="S17" s="51"/>
      <c r="T17" s="51"/>
      <c r="U17" s="51"/>
    </row>
    <row r="18" spans="1:21">
      <c r="A18" t="s">
        <v>26</v>
      </c>
      <c r="B18" t="s">
        <v>221</v>
      </c>
      <c r="C18" t="s">
        <v>208</v>
      </c>
      <c r="D18" s="3">
        <v>140362.5</v>
      </c>
      <c r="E18">
        <v>0</v>
      </c>
      <c r="F18" s="3">
        <v>4449</v>
      </c>
      <c r="G18" s="3">
        <v>11192.75</v>
      </c>
      <c r="H18" s="3">
        <v>127494.25</v>
      </c>
      <c r="I18" s="3">
        <v>8753</v>
      </c>
      <c r="J18" s="3">
        <v>6601</v>
      </c>
      <c r="K18" s="3">
        <v>119050</v>
      </c>
      <c r="L18" s="3">
        <v>177829.85</v>
      </c>
      <c r="M18" s="3">
        <v>40972.399999999907</v>
      </c>
      <c r="N18" s="3">
        <f>6545.7908+2796.6362</f>
        <v>9342.4269999999997</v>
      </c>
      <c r="O18" s="3">
        <v>15959.423000000001</v>
      </c>
      <c r="P18" s="3"/>
      <c r="Q18" s="3"/>
      <c r="R18" s="3"/>
      <c r="S18" s="3"/>
      <c r="T18" s="3"/>
      <c r="U18" s="3"/>
    </row>
    <row r="19" spans="1:21">
      <c r="A19" t="s">
        <v>26</v>
      </c>
      <c r="B19" t="s">
        <v>221</v>
      </c>
      <c r="C19" t="s">
        <v>209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/>
      <c r="Q19" s="3"/>
      <c r="R19" s="3"/>
      <c r="S19" s="3"/>
      <c r="T19" s="3"/>
      <c r="U19" s="3"/>
    </row>
    <row r="20" spans="1:21" s="7" customFormat="1">
      <c r="A20" t="s">
        <v>26</v>
      </c>
      <c r="B20" s="7" t="s">
        <v>220</v>
      </c>
      <c r="C20" s="7" t="s">
        <v>210</v>
      </c>
      <c r="D20" s="51">
        <f t="shared" ref="D20" si="12">SUM(D21:D23)</f>
        <v>0</v>
      </c>
      <c r="E20" s="51">
        <f t="shared" ref="E20:G20" si="13">SUM(E21:E23)</f>
        <v>0</v>
      </c>
      <c r="F20" s="51">
        <f t="shared" si="13"/>
        <v>0</v>
      </c>
      <c r="G20" s="51">
        <f t="shared" si="13"/>
        <v>0</v>
      </c>
      <c r="H20" s="51">
        <f t="shared" ref="H20:I20" si="14">SUM(H21:H23)</f>
        <v>0</v>
      </c>
      <c r="I20" s="51">
        <f t="shared" si="14"/>
        <v>0</v>
      </c>
      <c r="J20" s="51">
        <f t="shared" ref="J20:O20" si="15">SUM(J21:J23)</f>
        <v>0</v>
      </c>
      <c r="K20" s="51">
        <f t="shared" si="15"/>
        <v>0</v>
      </c>
      <c r="L20" s="51">
        <f t="shared" si="15"/>
        <v>0</v>
      </c>
      <c r="M20" s="51">
        <f t="shared" si="15"/>
        <v>0</v>
      </c>
      <c r="N20" s="51">
        <f t="shared" si="15"/>
        <v>0</v>
      </c>
      <c r="O20" s="51">
        <f t="shared" si="15"/>
        <v>0</v>
      </c>
      <c r="P20" s="51"/>
      <c r="Q20" s="51"/>
      <c r="R20" s="51"/>
      <c r="S20" s="51"/>
      <c r="T20" s="51"/>
      <c r="U20" s="51"/>
    </row>
    <row r="21" spans="1:21">
      <c r="A21" t="s">
        <v>26</v>
      </c>
      <c r="B21" t="s">
        <v>221</v>
      </c>
      <c r="C21" t="s">
        <v>211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/>
      <c r="Q21" s="3"/>
      <c r="R21" s="3"/>
      <c r="S21" s="3"/>
      <c r="T21" s="3"/>
      <c r="U21" s="3"/>
    </row>
    <row r="22" spans="1:21">
      <c r="A22" t="s">
        <v>26</v>
      </c>
      <c r="B22" t="s">
        <v>221</v>
      </c>
      <c r="C22" t="s">
        <v>212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/>
      <c r="Q22" s="3"/>
      <c r="R22" s="3"/>
      <c r="S22" s="3"/>
      <c r="T22" s="3"/>
      <c r="U22" s="3"/>
    </row>
    <row r="23" spans="1:21">
      <c r="A23" t="s">
        <v>26</v>
      </c>
      <c r="B23" t="s">
        <v>221</v>
      </c>
      <c r="C23" t="s">
        <v>213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/>
      <c r="Q23" s="3"/>
      <c r="R23" s="3"/>
      <c r="S23" s="3"/>
      <c r="T23" s="3"/>
      <c r="U23" s="3"/>
    </row>
    <row r="24" spans="1:21" s="7" customFormat="1">
      <c r="A24" t="s">
        <v>26</v>
      </c>
      <c r="B24" s="7" t="s">
        <v>220</v>
      </c>
      <c r="C24" s="7" t="s">
        <v>214</v>
      </c>
      <c r="D24" s="51">
        <f t="shared" ref="D24" si="16">SUM(D25:D27)</f>
        <v>0</v>
      </c>
      <c r="E24" s="51">
        <f t="shared" ref="E24:G24" si="17">SUM(E25:E27)</f>
        <v>0</v>
      </c>
      <c r="F24" s="51">
        <f t="shared" si="17"/>
        <v>0</v>
      </c>
      <c r="G24" s="51">
        <f t="shared" si="17"/>
        <v>0</v>
      </c>
      <c r="H24" s="51">
        <f t="shared" ref="H24:I24" si="18">SUM(H25:H27)</f>
        <v>0</v>
      </c>
      <c r="I24" s="51">
        <f t="shared" si="18"/>
        <v>0</v>
      </c>
      <c r="J24" s="51">
        <f t="shared" ref="J24:O24" si="19">SUM(J25:J27)</f>
        <v>0</v>
      </c>
      <c r="K24" s="51">
        <f t="shared" si="19"/>
        <v>0</v>
      </c>
      <c r="L24" s="51">
        <f t="shared" si="19"/>
        <v>0</v>
      </c>
      <c r="M24" s="51">
        <f t="shared" si="19"/>
        <v>0</v>
      </c>
      <c r="N24" s="51">
        <f t="shared" si="19"/>
        <v>0</v>
      </c>
      <c r="O24" s="51">
        <f t="shared" si="19"/>
        <v>0</v>
      </c>
      <c r="P24" s="51"/>
      <c r="Q24" s="51"/>
      <c r="R24" s="51"/>
      <c r="S24" s="51"/>
      <c r="T24" s="51"/>
      <c r="U24" s="51"/>
    </row>
    <row r="25" spans="1:21">
      <c r="A25" t="s">
        <v>26</v>
      </c>
      <c r="B25" t="s">
        <v>221</v>
      </c>
      <c r="C25" s="6" t="s">
        <v>215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/>
      <c r="Q25" s="3"/>
      <c r="R25" s="3"/>
      <c r="S25" s="3"/>
      <c r="T25" s="3"/>
      <c r="U25" s="3"/>
    </row>
    <row r="26" spans="1:21">
      <c r="A26" t="s">
        <v>26</v>
      </c>
      <c r="B26" t="s">
        <v>221</v>
      </c>
      <c r="C26" s="6" t="s">
        <v>216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/>
      <c r="Q26" s="3"/>
      <c r="R26" s="3"/>
      <c r="S26" s="3"/>
      <c r="T26" s="3"/>
      <c r="U26" s="3"/>
    </row>
    <row r="27" spans="1:21">
      <c r="A27" t="s">
        <v>26</v>
      </c>
      <c r="B27" t="s">
        <v>221</v>
      </c>
      <c r="C27" s="6" t="s">
        <v>217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/>
      <c r="Q27" s="3"/>
      <c r="R27" s="3"/>
      <c r="S27" s="3"/>
      <c r="T27" s="3"/>
      <c r="U27" s="3"/>
    </row>
    <row r="28" spans="1:21" s="7" customFormat="1">
      <c r="A28" t="s">
        <v>26</v>
      </c>
      <c r="B28" s="7" t="s">
        <v>220</v>
      </c>
      <c r="C28" s="7" t="s">
        <v>218</v>
      </c>
      <c r="D28" s="51">
        <v>0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/>
      <c r="Q28" s="51"/>
      <c r="R28" s="51"/>
      <c r="S28" s="51"/>
      <c r="T28" s="51"/>
      <c r="U28" s="51"/>
    </row>
    <row r="29" spans="1:21" s="7" customFormat="1">
      <c r="A29" t="s">
        <v>26</v>
      </c>
      <c r="B29" s="7" t="s">
        <v>220</v>
      </c>
      <c r="C29" s="8" t="s">
        <v>219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/>
      <c r="Q29" s="51"/>
      <c r="R29" s="51"/>
      <c r="S29" s="51"/>
      <c r="T29" s="51"/>
      <c r="U29" s="51"/>
    </row>
    <row r="30" spans="1:21" s="7" customFormat="1">
      <c r="A30" t="s">
        <v>26</v>
      </c>
      <c r="B30" s="7" t="s">
        <v>189</v>
      </c>
      <c r="C30" s="8" t="s">
        <v>190</v>
      </c>
      <c r="D30" s="51">
        <f t="shared" ref="D30:G30" si="20">SUM(D17,D20,D24,D28,D29)</f>
        <v>140362.5</v>
      </c>
      <c r="E30" s="51">
        <f t="shared" si="20"/>
        <v>0</v>
      </c>
      <c r="F30" s="51">
        <f t="shared" si="20"/>
        <v>4449</v>
      </c>
      <c r="G30" s="51">
        <f t="shared" si="20"/>
        <v>11192.75</v>
      </c>
      <c r="H30" s="51">
        <f t="shared" ref="H30:I30" si="21">SUM(H17,H20,H24,H28,H29)</f>
        <v>127494.25</v>
      </c>
      <c r="I30" s="51">
        <f t="shared" si="21"/>
        <v>8753</v>
      </c>
      <c r="J30" s="51">
        <f t="shared" ref="J30:O30" si="22">SUM(J17,J20,J24,J28,J29)</f>
        <v>6601</v>
      </c>
      <c r="K30" s="51">
        <f t="shared" si="22"/>
        <v>119050</v>
      </c>
      <c r="L30" s="51">
        <f t="shared" si="22"/>
        <v>177829.85</v>
      </c>
      <c r="M30" s="51">
        <f>SUM(M17,M20,M24,M28,M29)</f>
        <v>40972.399999999907</v>
      </c>
      <c r="N30" s="51">
        <f t="shared" si="22"/>
        <v>9342.4269999999997</v>
      </c>
      <c r="O30" s="51">
        <f t="shared" si="22"/>
        <v>15959.423000000001</v>
      </c>
      <c r="P30" s="51"/>
      <c r="Q30" s="51"/>
      <c r="R30" s="51"/>
      <c r="S30" s="51"/>
      <c r="T30" s="51"/>
      <c r="U30" s="51"/>
    </row>
    <row r="32" spans="1:21">
      <c r="A32" s="34" t="s">
        <v>222</v>
      </c>
      <c r="B32" s="34" t="s">
        <v>223</v>
      </c>
      <c r="C32" s="34" t="s">
        <v>224</v>
      </c>
      <c r="D32" s="37">
        <f t="shared" ref="D32:G32" si="23">SUM(D15,D30)</f>
        <v>42257389.190164268</v>
      </c>
      <c r="E32" s="37">
        <f t="shared" si="23"/>
        <v>39243980.659811132</v>
      </c>
      <c r="F32" s="37">
        <f t="shared" si="23"/>
        <v>36268012.28871987</v>
      </c>
      <c r="G32" s="37">
        <f t="shared" si="23"/>
        <v>38907513.408578366</v>
      </c>
      <c r="H32" s="37">
        <f t="shared" ref="H32:I32" si="24">SUM(H15,H30)</f>
        <v>37708844.29681018</v>
      </c>
      <c r="I32" s="37">
        <f t="shared" si="24"/>
        <v>39245819.513693996</v>
      </c>
      <c r="J32" s="37">
        <f t="shared" ref="J32:O32" si="25">SUM(J15,J30)</f>
        <v>42426211.0372032</v>
      </c>
      <c r="K32" s="37">
        <f t="shared" si="25"/>
        <v>43247514.076202139</v>
      </c>
      <c r="L32" s="37">
        <f t="shared" si="25"/>
        <v>30102907.808227036</v>
      </c>
      <c r="M32" s="37">
        <f t="shared" si="25"/>
        <v>28739808.020987846</v>
      </c>
      <c r="N32" s="37">
        <f t="shared" si="25"/>
        <v>28528071.457827915</v>
      </c>
      <c r="O32" s="37">
        <f t="shared" si="25"/>
        <v>25668369.681585252</v>
      </c>
      <c r="P32" s="37"/>
      <c r="Q32" s="37"/>
      <c r="R32" s="37"/>
      <c r="S32" s="37"/>
      <c r="T32" s="37"/>
      <c r="U32" s="37"/>
    </row>
    <row r="43" spans="3:4">
      <c r="C43" s="41"/>
      <c r="D43" s="3"/>
    </row>
  </sheetData>
  <sheetProtection algorithmName="SHA-512" hashValue="uPPZfBfJ5Tiuz4/246/SKxiK4X0LG89cOxjqgnq4eAMd1W0LmKB0QgX/YWc1QR1OAjMxDy45goKVpI4SZQG+8w==" saltValue="Ci1tyeIsuIIVMYQyCyfODA==" spinCount="100000" sheet="1" objects="1" scenarios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79998168889431442"/>
  </sheetPr>
  <dimension ref="A1:P18"/>
  <sheetViews>
    <sheetView tabSelected="1" zoomScale="90" zoomScaleNormal="90" workbookViewId="0">
      <pane xSplit="2" ySplit="1" topLeftCell="I2" activePane="bottomRight" state="frozen"/>
      <selection pane="topRight" activeCell="D1" sqref="D1"/>
      <selection pane="bottomLeft" activeCell="A2" sqref="A2"/>
      <selection pane="bottomRight"/>
    </sheetView>
  </sheetViews>
  <sheetFormatPr defaultRowHeight="14.5"/>
  <cols>
    <col min="1" max="1" width="10.7265625" bestFit="1" customWidth="1"/>
    <col min="2" max="2" width="51" bestFit="1" customWidth="1"/>
    <col min="3" max="3" width="14.7265625" bestFit="1" customWidth="1"/>
    <col min="4" max="8" width="14.36328125" customWidth="1"/>
    <col min="9" max="9" width="15" customWidth="1"/>
    <col min="10" max="10" width="16.26953125" customWidth="1"/>
    <col min="11" max="14" width="14.453125" customWidth="1"/>
    <col min="15" max="16" width="13.26953125" customWidth="1"/>
  </cols>
  <sheetData>
    <row r="1" spans="1:16">
      <c r="B1" s="34"/>
      <c r="C1" s="38">
        <v>45627</v>
      </c>
      <c r="D1" s="38">
        <v>45658</v>
      </c>
      <c r="E1" s="38">
        <v>45689</v>
      </c>
      <c r="F1" s="38">
        <v>45717</v>
      </c>
      <c r="G1" s="38">
        <v>45748</v>
      </c>
      <c r="H1" s="38">
        <v>45778</v>
      </c>
      <c r="I1" s="38">
        <v>45809</v>
      </c>
      <c r="J1" s="38">
        <v>45839</v>
      </c>
      <c r="K1" s="38">
        <v>45870</v>
      </c>
      <c r="L1" s="38">
        <v>45901</v>
      </c>
      <c r="M1" s="38">
        <v>45931</v>
      </c>
      <c r="N1" s="38">
        <v>45962</v>
      </c>
      <c r="O1" s="82"/>
      <c r="P1" s="82"/>
    </row>
    <row r="2" spans="1:16">
      <c r="A2" t="s">
        <v>195</v>
      </c>
      <c r="B2" s="6" t="s">
        <v>196</v>
      </c>
      <c r="C2" s="12">
        <f>'Custo Distribuição'!C9</f>
        <v>104753976.11961426</v>
      </c>
      <c r="D2" s="12">
        <f>'Custo Distribuição'!D9</f>
        <v>97058212.967844889</v>
      </c>
      <c r="E2" s="12">
        <f>'Custo Distribuição'!E9</f>
        <v>89705750.279221982</v>
      </c>
      <c r="F2" s="12">
        <f>'Custo Distribuição'!F9</f>
        <v>96245439.498606011</v>
      </c>
      <c r="G2" s="12">
        <f>'Custo Distribuição'!G9</f>
        <v>93482236.860240936</v>
      </c>
      <c r="H2" s="12">
        <f>'Custo Distribuição'!H9</f>
        <v>97077914.364987984</v>
      </c>
      <c r="I2" s="12">
        <f>'Custo Distribuição'!I9</f>
        <v>105171888.26594767</v>
      </c>
      <c r="J2" s="12">
        <f>'Custo Distribuição'!J9</f>
        <v>107521168.89768799</v>
      </c>
      <c r="K2" s="12">
        <f>'Custo Distribuição'!K9</f>
        <v>75006242.328187555</v>
      </c>
      <c r="L2" s="12">
        <f>'Custo Distribuição'!L9</f>
        <v>71386127.862631246</v>
      </c>
      <c r="M2" s="12">
        <f>'Custo Distribuição'!M9</f>
        <v>70805784.124304637</v>
      </c>
      <c r="N2" s="12">
        <f>'Custo Distribuição'!N9</f>
        <v>63721213.726448178</v>
      </c>
    </row>
    <row r="3" spans="1:16">
      <c r="A3" t="s">
        <v>201</v>
      </c>
      <c r="B3" s="6" t="s">
        <v>202</v>
      </c>
      <c r="C3" s="12">
        <f>'Custo Distribuição'!C16</f>
        <v>-6268635.1551443115</v>
      </c>
      <c r="D3" s="12">
        <f>'Custo Distribuição'!D16</f>
        <v>-5808109.137652047</v>
      </c>
      <c r="E3" s="12">
        <f>'Custo Distribuição'!E16</f>
        <v>-5368126.7351305401</v>
      </c>
      <c r="F3" s="12">
        <f>'Custo Distribuição'!F16</f>
        <v>-5759471.5533695975</v>
      </c>
      <c r="G3" s="12">
        <f>'Custo Distribuição'!G16</f>
        <v>-5594117.3602279061</v>
      </c>
      <c r="H3" s="12">
        <f>'Custo Distribuição'!H16</f>
        <v>-5809288.0988267111</v>
      </c>
      <c r="I3" s="12">
        <f>'Custo Distribuição'!I16</f>
        <v>-2724059.3975284449</v>
      </c>
      <c r="J3" s="12">
        <f>'Custo Distribuição'!J16</f>
        <v>-966277.93439930771</v>
      </c>
      <c r="K3" s="12">
        <f>'Custo Distribuição'!K16</f>
        <v>-674070.76808196283</v>
      </c>
      <c r="L3" s="12">
        <f>'Custo Distribuição'!L16</f>
        <v>-641537.29803202907</v>
      </c>
      <c r="M3" s="12">
        <f>'Custo Distribuição'!M16</f>
        <v>-636321.82879503246</v>
      </c>
      <c r="N3" s="12">
        <f>'Custo Distribuição'!N16</f>
        <v>-572653.77049238118</v>
      </c>
    </row>
    <row r="4" spans="1:16">
      <c r="A4" t="s">
        <v>176</v>
      </c>
      <c r="B4" s="6" t="s">
        <v>177</v>
      </c>
      <c r="C4" s="12">
        <f>'Custos de Aquisição'!C10</f>
        <v>103919331.77176528</v>
      </c>
      <c r="D4" s="12">
        <f>'Custos de Aquisição'!D10</f>
        <v>96310611.555818632</v>
      </c>
      <c r="E4" s="12">
        <f>'Custos de Aquisição'!E10</f>
        <v>87666222.862892151</v>
      </c>
      <c r="F4" s="12">
        <f>'Custos de Aquisição'!F10</f>
        <v>94120715.618359834</v>
      </c>
      <c r="G4" s="12">
        <f>'Custos de Aquisição'!G10</f>
        <v>91520999.434827492</v>
      </c>
      <c r="H4" s="12">
        <f>'Custos de Aquisição'!H10</f>
        <v>97362153.790125996</v>
      </c>
      <c r="I4" s="12">
        <f>'Custos de Aquisição'!I10</f>
        <v>102178383.96519201</v>
      </c>
      <c r="J4" s="12">
        <f>'Custos de Aquisição'!J10</f>
        <v>105903751.09836601</v>
      </c>
      <c r="K4" s="12">
        <f>'Custos de Aquisição'!K10</f>
        <v>65039362.7061055</v>
      </c>
      <c r="L4" s="12">
        <f>'Custos de Aquisição'!L10</f>
        <v>62231867.479469255</v>
      </c>
      <c r="M4" s="12">
        <f>'Custos de Aquisição'!M10</f>
        <v>61551732.733109497</v>
      </c>
      <c r="N4" s="12">
        <f>'Custos de Aquisição'!N10</f>
        <v>56795714.698382013</v>
      </c>
    </row>
    <row r="5" spans="1:16">
      <c r="A5" t="s">
        <v>225</v>
      </c>
      <c r="B5" t="s">
        <v>226</v>
      </c>
      <c r="C5" s="12">
        <f>C2+C3-C4</f>
        <v>-5433990.8072953373</v>
      </c>
      <c r="D5" s="12">
        <f t="shared" ref="D5:H5" si="0">D2+D3-D4</f>
        <v>-5060507.7256257981</v>
      </c>
      <c r="E5" s="12">
        <f t="shared" si="0"/>
        <v>-3328599.3188007027</v>
      </c>
      <c r="F5" s="12">
        <f t="shared" si="0"/>
        <v>-3634747.6731234193</v>
      </c>
      <c r="G5" s="12">
        <f t="shared" si="0"/>
        <v>-3632879.934814468</v>
      </c>
      <c r="H5" s="12">
        <f t="shared" si="0"/>
        <v>-6093527.523964718</v>
      </c>
      <c r="I5" s="12">
        <f>I2+I3-I4</f>
        <v>269444.90322722495</v>
      </c>
      <c r="J5" s="12">
        <f>J2+J3-J4</f>
        <v>651139.86492267251</v>
      </c>
      <c r="K5" s="12">
        <f>K2+K3-K4</f>
        <v>9292808.8540000916</v>
      </c>
      <c r="L5" s="12">
        <f t="shared" ref="L5:M5" si="1">L2+L3-L4</f>
        <v>8512723.0851299614</v>
      </c>
      <c r="M5" s="12">
        <f t="shared" si="1"/>
        <v>8617729.5624001101</v>
      </c>
      <c r="N5" s="12">
        <f>N2+N3-N4</f>
        <v>6352845.2575737834</v>
      </c>
    </row>
    <row r="6" spans="1:16">
      <c r="A6" t="s">
        <v>227</v>
      </c>
      <c r="B6" t="s">
        <v>228</v>
      </c>
      <c r="C6" s="74">
        <v>4999560.392750226</v>
      </c>
      <c r="D6" s="12">
        <f t="shared" ref="D6:J6" si="2">C9</f>
        <v>-387934.50289253425</v>
      </c>
      <c r="E6" s="12">
        <f t="shared" si="2"/>
        <v>-5452360.3669975465</v>
      </c>
      <c r="F6" s="12">
        <f t="shared" si="2"/>
        <v>-8834938.0534315258</v>
      </c>
      <c r="G6" s="12">
        <f t="shared" si="2"/>
        <v>-12554501.131867887</v>
      </c>
      <c r="H6" s="12">
        <f t="shared" si="2"/>
        <v>-16320458.778680155</v>
      </c>
      <c r="I6" s="12">
        <f t="shared" si="2"/>
        <v>-22600039.532721829</v>
      </c>
      <c r="J6" s="12">
        <f t="shared" si="2"/>
        <v>-22579195.064354543</v>
      </c>
      <c r="K6" s="12">
        <f t="shared" ref="K6" si="3">J9</f>
        <v>-22217068.896255605</v>
      </c>
      <c r="L6" s="12">
        <f t="shared" ref="L6" si="4">K9</f>
        <v>-13181978.04145208</v>
      </c>
      <c r="M6" s="12">
        <f t="shared" ref="M6" si="5">L9</f>
        <v>-4830075.0884278342</v>
      </c>
      <c r="N6" s="12">
        <f t="shared" ref="N6" si="6">M9</f>
        <v>3725829.5128403995</v>
      </c>
    </row>
    <row r="7" spans="1:16">
      <c r="A7" t="s">
        <v>229</v>
      </c>
      <c r="B7" t="s">
        <v>230</v>
      </c>
      <c r="C7" s="4">
        <f>Indicadores!M16</f>
        <v>9.2999999999999992E-3</v>
      </c>
      <c r="D7" s="4">
        <f>Indicadores!N16</f>
        <v>1.01E-2</v>
      </c>
      <c r="E7" s="4">
        <f>Indicadores!O16</f>
        <v>9.9000000000000008E-3</v>
      </c>
      <c r="F7" s="4">
        <f>Indicadores!P16</f>
        <v>9.5999999999999992E-3</v>
      </c>
      <c r="G7" s="4">
        <f>Indicadores!Q16</f>
        <v>1.06E-2</v>
      </c>
      <c r="H7" s="4">
        <f>Indicadores!R16</f>
        <v>1.14E-2</v>
      </c>
      <c r="I7" s="4">
        <f>Indicadores!S16</f>
        <v>1.0999999999999999E-2</v>
      </c>
      <c r="J7" s="4">
        <f>Indicadores!T16</f>
        <v>1.2800000000000001E-2</v>
      </c>
      <c r="K7" s="4">
        <f>Indicadores!U16</f>
        <v>1.1599999999999999E-2</v>
      </c>
      <c r="L7" s="4">
        <f>Indicadores!V16</f>
        <v>1.2199999999999999E-2</v>
      </c>
      <c r="M7" s="4">
        <f>Indicadores!W16</f>
        <v>1.2800000000000001E-2</v>
      </c>
      <c r="N7" s="4">
        <f>Indicadores!X16</f>
        <v>1.0500000000000001E-2</v>
      </c>
    </row>
    <row r="8" spans="1:16">
      <c r="A8" t="s">
        <v>231</v>
      </c>
      <c r="B8" t="s">
        <v>232</v>
      </c>
      <c r="C8" s="12">
        <f t="shared" ref="C8:H8" si="7">C6*(1+C7)</f>
        <v>5046056.3044028031</v>
      </c>
      <c r="D8" s="12">
        <f t="shared" si="7"/>
        <v>-391852.64137174882</v>
      </c>
      <c r="E8" s="12">
        <f t="shared" si="7"/>
        <v>-5506338.7346308222</v>
      </c>
      <c r="F8" s="12">
        <f t="shared" si="7"/>
        <v>-8919753.4587444682</v>
      </c>
      <c r="G8" s="12">
        <f t="shared" si="7"/>
        <v>-12687578.843865687</v>
      </c>
      <c r="H8" s="12">
        <f t="shared" si="7"/>
        <v>-16506512.008757111</v>
      </c>
      <c r="I8" s="12">
        <f t="shared" ref="I8:J8" si="8">I6*(1+I7)</f>
        <v>-22848639.967581768</v>
      </c>
      <c r="J8" s="12">
        <f t="shared" si="8"/>
        <v>-22868208.761178277</v>
      </c>
      <c r="K8" s="12">
        <f t="shared" ref="K8:N8" si="9">K6*(1+K7)</f>
        <v>-22474786.895452172</v>
      </c>
      <c r="L8" s="12">
        <f t="shared" si="9"/>
        <v>-13342798.173557796</v>
      </c>
      <c r="M8" s="12">
        <f t="shared" si="9"/>
        <v>-4891900.0495597105</v>
      </c>
      <c r="N8" s="12">
        <f t="shared" si="9"/>
        <v>3764950.7227252237</v>
      </c>
    </row>
    <row r="9" spans="1:16" s="34" customFormat="1">
      <c r="A9" s="34" t="s">
        <v>233</v>
      </c>
      <c r="B9" s="34" t="s">
        <v>234</v>
      </c>
      <c r="C9" s="40">
        <f>C5+C8</f>
        <v>-387934.50289253425</v>
      </c>
      <c r="D9" s="40">
        <f t="shared" ref="D9:H9" si="10">D5+D8</f>
        <v>-5452360.3669975465</v>
      </c>
      <c r="E9" s="40">
        <f t="shared" si="10"/>
        <v>-8834938.0534315258</v>
      </c>
      <c r="F9" s="40">
        <f t="shared" si="10"/>
        <v>-12554501.131867887</v>
      </c>
      <c r="G9" s="40">
        <f t="shared" si="10"/>
        <v>-16320458.778680155</v>
      </c>
      <c r="H9" s="40">
        <f t="shared" si="10"/>
        <v>-22600039.532721829</v>
      </c>
      <c r="I9" s="40">
        <f t="shared" ref="I9:J9" si="11">I5+I8</f>
        <v>-22579195.064354543</v>
      </c>
      <c r="J9" s="40">
        <f t="shared" si="11"/>
        <v>-22217068.896255605</v>
      </c>
      <c r="K9" s="40">
        <f t="shared" ref="K9:N9" si="12">K5+K8</f>
        <v>-13181978.04145208</v>
      </c>
      <c r="L9" s="40">
        <f t="shared" si="12"/>
        <v>-4830075.0884278342</v>
      </c>
      <c r="M9" s="40">
        <f t="shared" si="12"/>
        <v>3725829.5128403995</v>
      </c>
      <c r="N9" s="40">
        <f t="shared" si="12"/>
        <v>10117795.980299007</v>
      </c>
    </row>
    <row r="11" spans="1:16">
      <c r="A11" t="s">
        <v>235</v>
      </c>
      <c r="B11" t="s">
        <v>236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>
        <f t="shared" ref="N11" si="13">N13</f>
        <v>114254448.75777778</v>
      </c>
    </row>
    <row r="12" spans="1:16">
      <c r="A12" t="s">
        <v>237</v>
      </c>
      <c r="B12" t="s">
        <v>238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>
        <f>SUM('Volume projetado'!D15:F15)</f>
        <v>58124679.858695261</v>
      </c>
    </row>
    <row r="13" spans="1:16">
      <c r="A13" t="s">
        <v>239</v>
      </c>
      <c r="B13" t="s">
        <v>240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>
        <f>SUM('Volume projetado'!D15:I15)</f>
        <v>114254448.75777778</v>
      </c>
    </row>
    <row r="14" spans="1:16">
      <c r="A14" s="34" t="s">
        <v>241</v>
      </c>
      <c r="B14" s="34" t="s">
        <v>242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86">
        <f>ROUND(-N9/N13,4)</f>
        <v>-8.8599999999999998E-2</v>
      </c>
    </row>
    <row r="16" spans="1:16">
      <c r="A16" t="s">
        <v>178</v>
      </c>
      <c r="B16" s="6" t="s">
        <v>179</v>
      </c>
      <c r="C16" s="42">
        <f>'Custos de Aquisição'!C13</f>
        <v>2.4568689711049188</v>
      </c>
      <c r="D16" s="42">
        <f>'Custos de Aquisição'!D13</f>
        <v>2.4444572026211091</v>
      </c>
      <c r="E16" s="42">
        <f>'Custos de Aquisição'!E13</f>
        <v>2.4053152118773462</v>
      </c>
      <c r="F16" s="42">
        <f>'Custos de Aquisição'!F13</f>
        <v>2.4129492149670893</v>
      </c>
      <c r="G16" s="42">
        <f>'Custos de Aquisição'!G13</f>
        <v>2.4160540923952483</v>
      </c>
      <c r="H16" s="42">
        <f>'Custos de Aquisição'!H13</f>
        <v>2.460423059833456</v>
      </c>
      <c r="I16" s="42">
        <f>'Custos de Aquisição'!I13</f>
        <v>2.4433159072398549</v>
      </c>
      <c r="J16" s="42">
        <f>'Custos de Aquisição'!J13</f>
        <v>2.4462183323448947</v>
      </c>
      <c r="K16" s="42">
        <f>'Custos de Aquisição'!K13</f>
        <v>2.1659100240092513</v>
      </c>
      <c r="L16" s="42">
        <f>'Custos de Aquisição'!L13</f>
        <v>2.1731698465640505</v>
      </c>
      <c r="M16" s="42">
        <f>'Custos de Aquisição'!M13</f>
        <v>2.1607450310532794</v>
      </c>
      <c r="N16" s="42">
        <f>'Custos de Aquisição'!N13</f>
        <v>2.236318269046552</v>
      </c>
    </row>
    <row r="17" spans="1:14">
      <c r="A17" t="s">
        <v>203</v>
      </c>
      <c r="B17" t="s">
        <v>204</v>
      </c>
      <c r="C17" s="42">
        <f>'Custo Distribuição'!C18</f>
        <v>2.3251999999999997</v>
      </c>
      <c r="D17" s="42">
        <f>'Custo Distribuição'!D18</f>
        <v>2.3251999999999997</v>
      </c>
      <c r="E17" s="42">
        <f>'Custo Distribuição'!E18</f>
        <v>2.3251999999999997</v>
      </c>
      <c r="F17" s="42">
        <f>'Custo Distribuição'!F18</f>
        <v>2.3251999999999997</v>
      </c>
      <c r="G17" s="42">
        <f>'Custo Distribuição'!G18</f>
        <v>2.3251999999999997</v>
      </c>
      <c r="H17" s="42">
        <f>'Custo Distribuição'!H18</f>
        <v>2.3251999999999997</v>
      </c>
      <c r="I17" s="42">
        <f>'Custo Distribuição'!I18</f>
        <v>2.4144666666666668</v>
      </c>
      <c r="J17" s="42">
        <f>'Custo Distribuição'!J18</f>
        <v>2.4590999999999998</v>
      </c>
      <c r="K17" s="42">
        <f>'Custo Distribuição'!K18</f>
        <v>2.4590999999999998</v>
      </c>
      <c r="L17" s="42">
        <f>'Custo Distribuição'!L18</f>
        <v>2.4590999999999998</v>
      </c>
      <c r="M17" s="42">
        <f>'Custo Distribuição'!M18</f>
        <v>2.4590999999999998</v>
      </c>
      <c r="N17" s="42">
        <f>'Custo Distribuição'!N18</f>
        <v>2.4590999999999998</v>
      </c>
    </row>
    <row r="18" spans="1:14">
      <c r="A18" t="s">
        <v>243</v>
      </c>
      <c r="B18" t="s">
        <v>244</v>
      </c>
      <c r="C18" s="4">
        <f t="shared" ref="C18:H18" si="14">(C16/C17)-1</f>
        <v>5.6626944393995737E-2</v>
      </c>
      <c r="D18" s="4">
        <f t="shared" si="14"/>
        <v>5.1289008524475044E-2</v>
      </c>
      <c r="E18" s="4">
        <f t="shared" si="14"/>
        <v>3.4455191758707482E-2</v>
      </c>
      <c r="F18" s="4">
        <f t="shared" si="14"/>
        <v>3.7738351525498759E-2</v>
      </c>
      <c r="G18" s="4">
        <f t="shared" si="14"/>
        <v>3.907366781147803E-2</v>
      </c>
      <c r="H18" s="4">
        <f t="shared" si="14"/>
        <v>5.8155453222714648E-2</v>
      </c>
      <c r="I18" s="4">
        <f t="shared" ref="I18:N18" si="15">(I16/I17)-1</f>
        <v>1.1948494038650948E-2</v>
      </c>
      <c r="J18" s="4">
        <f t="shared" si="15"/>
        <v>-5.2383667419402258E-3</v>
      </c>
      <c r="K18" s="4">
        <f t="shared" si="15"/>
        <v>-0.11922653653399562</v>
      </c>
      <c r="L18" s="4">
        <f t="shared" si="15"/>
        <v>-0.11627430907077763</v>
      </c>
      <c r="M18" s="4">
        <f t="shared" si="15"/>
        <v>-0.12132689559054954</v>
      </c>
      <c r="N18" s="4">
        <f t="shared" si="15"/>
        <v>-9.0594823697063065E-2</v>
      </c>
    </row>
  </sheetData>
  <sheetProtection algorithmName="SHA-512" hashValue="STv/IQNQ8mx4brEFBfJ8ICQDKs9m0jFvmMTP28avcACjpcn2iuD07eeGYasC5f9pZVmXUbODfiASIICwsItn8A==" saltValue="Hu6vkBrMyMP0NsySiI5AtQ==" spinCount="100000" sheet="1" objects="1" scenarios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79998168889431442"/>
  </sheetPr>
  <dimension ref="A1:L33"/>
  <sheetViews>
    <sheetView workbookViewId="0">
      <pane xSplit="3" ySplit="1" topLeftCell="D2" activePane="bottomRight" state="frozen"/>
      <selection pane="topRight" activeCell="E1" sqref="E1"/>
      <selection pane="bottomLeft" activeCell="A2" sqref="A2"/>
      <selection pane="bottomRight"/>
    </sheetView>
  </sheetViews>
  <sheetFormatPr defaultRowHeight="14.5"/>
  <cols>
    <col min="1" max="1" width="11.90625" style="6" customWidth="1"/>
    <col min="3" max="3" width="44.6328125" bestFit="1" customWidth="1"/>
    <col min="4" max="9" width="11.26953125" customWidth="1"/>
  </cols>
  <sheetData>
    <row r="1" spans="1:9">
      <c r="B1" s="15"/>
      <c r="C1" s="44"/>
      <c r="D1" s="70">
        <v>45992</v>
      </c>
      <c r="E1" s="70">
        <v>46023</v>
      </c>
      <c r="F1" s="70">
        <v>46054</v>
      </c>
      <c r="G1" s="70">
        <v>46082</v>
      </c>
      <c r="H1" s="70">
        <v>46113</v>
      </c>
      <c r="I1" s="70">
        <v>46143</v>
      </c>
    </row>
    <row r="2" spans="1:9">
      <c r="A2" s="6" t="s">
        <v>4</v>
      </c>
      <c r="B2" s="15" t="s">
        <v>245</v>
      </c>
      <c r="C2" s="16" t="s">
        <v>206</v>
      </c>
      <c r="D2" s="51">
        <f t="shared" ref="D2:I2" si="0">SUM(D3:D4)</f>
        <v>19229096.0096296</v>
      </c>
      <c r="E2" s="51">
        <f t="shared" si="0"/>
        <v>11137583.332314299</v>
      </c>
      <c r="F2" s="51">
        <f t="shared" si="0"/>
        <v>9329395.3268046975</v>
      </c>
      <c r="G2" s="51">
        <f t="shared" si="0"/>
        <v>12561181.710808199</v>
      </c>
      <c r="H2" s="51">
        <f t="shared" si="0"/>
        <v>11292217.543801</v>
      </c>
      <c r="I2" s="51">
        <f t="shared" si="0"/>
        <v>12500339.011737499</v>
      </c>
    </row>
    <row r="3" spans="1:9">
      <c r="A3" s="6" t="s">
        <v>4</v>
      </c>
      <c r="B3" s="15" t="s">
        <v>246</v>
      </c>
      <c r="C3" s="17" t="s">
        <v>208</v>
      </c>
      <c r="D3" s="3">
        <f>'Volumes distribuídos'!D3-D17</f>
        <v>19196018.154439598</v>
      </c>
      <c r="E3" s="3">
        <f>'Volumes distribuídos'!E3-E17</f>
        <v>11103625.464092299</v>
      </c>
      <c r="F3" s="3">
        <f>'Volumes distribuídos'!F3-F17</f>
        <v>9303139.4833506979</v>
      </c>
      <c r="G3" s="3">
        <f>'Volumes distribuídos'!G3-G17</f>
        <v>12534601.205540199</v>
      </c>
      <c r="H3" s="3">
        <f>'Volumes distribuídos'!H3-H17</f>
        <v>11262576.337393001</v>
      </c>
      <c r="I3" s="3">
        <f>'Volumes distribuídos'!I3-I17</f>
        <v>12465622.836438499</v>
      </c>
    </row>
    <row r="4" spans="1:9">
      <c r="A4" s="6" t="s">
        <v>4</v>
      </c>
      <c r="B4" s="15" t="s">
        <v>246</v>
      </c>
      <c r="C4" s="17" t="s">
        <v>209</v>
      </c>
      <c r="D4" s="3">
        <f>'Volumes distribuídos'!D4</f>
        <v>33077.855190000002</v>
      </c>
      <c r="E4" s="3">
        <f>'Volumes distribuídos'!E4</f>
        <v>33957.868221999997</v>
      </c>
      <c r="F4" s="3">
        <f>'Volumes distribuídos'!F4</f>
        <v>26255.843453999998</v>
      </c>
      <c r="G4" s="3">
        <f>'Volumes distribuídos'!G4</f>
        <v>26580.505267999997</v>
      </c>
      <c r="H4" s="3">
        <f>'Volumes distribuídos'!H4</f>
        <v>29641.206407999998</v>
      </c>
      <c r="I4" s="3">
        <f>'Volumes distribuídos'!I4</f>
        <v>34716.175299000002</v>
      </c>
    </row>
    <row r="5" spans="1:9">
      <c r="A5" s="6" t="s">
        <v>4</v>
      </c>
      <c r="B5" s="15" t="s">
        <v>245</v>
      </c>
      <c r="C5" s="16" t="s">
        <v>210</v>
      </c>
      <c r="D5" s="51">
        <f t="shared" ref="D5:I5" si="1">SUM(D6:D8)</f>
        <v>4153845.8655086672</v>
      </c>
      <c r="E5" s="51">
        <f t="shared" si="1"/>
        <v>3759668.0096246647</v>
      </c>
      <c r="F5" s="51">
        <f t="shared" si="1"/>
        <v>3747089.1339216679</v>
      </c>
      <c r="G5" s="51">
        <f t="shared" si="1"/>
        <v>3984943.0713456674</v>
      </c>
      <c r="H5" s="51">
        <f t="shared" si="1"/>
        <v>3841087.1820833329</v>
      </c>
      <c r="I5" s="51">
        <f t="shared" si="1"/>
        <v>3856346.7092156657</v>
      </c>
    </row>
    <row r="6" spans="1:9">
      <c r="A6" s="6" t="s">
        <v>4</v>
      </c>
      <c r="B6" s="15" t="s">
        <v>246</v>
      </c>
      <c r="C6" s="17" t="s">
        <v>211</v>
      </c>
      <c r="D6" s="3">
        <f>'Volumes distribuídos'!D6</f>
        <v>3754145.8242530008</v>
      </c>
      <c r="E6" s="3">
        <f>'Volumes distribuídos'!E6</f>
        <v>3305215.134937332</v>
      </c>
      <c r="F6" s="3">
        <f>'Volumes distribuídos'!F6</f>
        <v>3349949.483378334</v>
      </c>
      <c r="G6" s="3">
        <f>'Volumes distribuídos'!G6</f>
        <v>3609965.9938100004</v>
      </c>
      <c r="H6" s="3">
        <f>'Volumes distribuídos'!H6</f>
        <v>3511383.0772279999</v>
      </c>
      <c r="I6" s="3">
        <f>'Volumes distribuídos'!I6</f>
        <v>3551275.7652279995</v>
      </c>
    </row>
    <row r="7" spans="1:9">
      <c r="A7" s="6" t="s">
        <v>4</v>
      </c>
      <c r="B7" s="15" t="s">
        <v>246</v>
      </c>
      <c r="C7" s="17" t="s">
        <v>212</v>
      </c>
      <c r="D7" s="3">
        <f>'Volumes distribuídos'!D7</f>
        <v>14963.476525333102</v>
      </c>
      <c r="E7" s="3">
        <f>'Volumes distribuídos'!E7</f>
        <v>16363.633878999997</v>
      </c>
      <c r="F7" s="3">
        <f>'Volumes distribuídos'!F7</f>
        <v>14268.2085453337</v>
      </c>
      <c r="G7" s="3">
        <f>'Volumes distribuídos'!G7</f>
        <v>17233.287205333199</v>
      </c>
      <c r="H7" s="3">
        <f>'Volumes distribuídos'!H7</f>
        <v>18710</v>
      </c>
      <c r="I7" s="3">
        <f>'Volumes distribuídos'!I7</f>
        <v>18558</v>
      </c>
    </row>
    <row r="8" spans="1:9">
      <c r="A8" s="6" t="s">
        <v>4</v>
      </c>
      <c r="B8" s="15" t="s">
        <v>246</v>
      </c>
      <c r="C8" s="17" t="s">
        <v>213</v>
      </c>
      <c r="D8" s="3">
        <f>'Volumes distribuídos'!D8</f>
        <v>384736.56473033316</v>
      </c>
      <c r="E8" s="3">
        <f>'Volumes distribuídos'!E8</f>
        <v>438089.24080833304</v>
      </c>
      <c r="F8" s="3">
        <f>'Volumes distribuídos'!F8</f>
        <v>382871.4419980002</v>
      </c>
      <c r="G8" s="3">
        <f>'Volumes distribuídos'!G8</f>
        <v>357743.79033033364</v>
      </c>
      <c r="H8" s="3">
        <f>'Volumes distribuídos'!H8</f>
        <v>310994.10485533311</v>
      </c>
      <c r="I8" s="3">
        <f>'Volumes distribuídos'!I8</f>
        <v>286512.94398766622</v>
      </c>
    </row>
    <row r="9" spans="1:9">
      <c r="A9" s="6" t="s">
        <v>4</v>
      </c>
      <c r="B9" s="15" t="s">
        <v>245</v>
      </c>
      <c r="C9" s="16" t="s">
        <v>214</v>
      </c>
      <c r="D9" s="51">
        <f t="shared" ref="D9:I9" si="2">SUM(D10:D12)</f>
        <v>824875.78525082674</v>
      </c>
      <c r="E9" s="51">
        <f t="shared" si="2"/>
        <v>661603.71325116383</v>
      </c>
      <c r="F9" s="51">
        <f t="shared" si="2"/>
        <v>540630.39557566785</v>
      </c>
      <c r="G9" s="51">
        <f t="shared" si="2"/>
        <v>701641.11928765906</v>
      </c>
      <c r="H9" s="51">
        <f t="shared" si="2"/>
        <v>1003584.0749315065</v>
      </c>
      <c r="I9" s="51">
        <f t="shared" si="2"/>
        <v>1248960.3416626737</v>
      </c>
    </row>
    <row r="10" spans="1:9">
      <c r="A10" s="6" t="s">
        <v>4</v>
      </c>
      <c r="B10" s="15" t="s">
        <v>246</v>
      </c>
      <c r="C10" s="17" t="s">
        <v>215</v>
      </c>
      <c r="D10" s="3">
        <f>'Volumes distribuídos'!D10</f>
        <v>821811.8432121611</v>
      </c>
      <c r="E10" s="3">
        <f>'Volumes distribuídos'!E10</f>
        <v>659305.2865458302</v>
      </c>
      <c r="F10" s="3">
        <f>'Volumes distribuídos'!F10</f>
        <v>538890.14529300097</v>
      </c>
      <c r="G10" s="3">
        <f>'Volumes distribuídos'!G10</f>
        <v>700614.68665665842</v>
      </c>
      <c r="H10" s="3">
        <f>'Volumes distribuídos'!H10</f>
        <v>1000158.8153725077</v>
      </c>
      <c r="I10" s="3">
        <f>'Volumes distribuídos'!I10</f>
        <v>1244839.923924007</v>
      </c>
    </row>
    <row r="11" spans="1:9">
      <c r="A11" s="6" t="s">
        <v>4</v>
      </c>
      <c r="B11" s="15" t="s">
        <v>246</v>
      </c>
      <c r="C11" s="17" t="s">
        <v>216</v>
      </c>
      <c r="D11" s="3">
        <f>'Volumes distribuídos'!D11</f>
        <v>3063.9420386655993</v>
      </c>
      <c r="E11" s="3">
        <f>'Volumes distribuídos'!E11</f>
        <v>2298.4267053336007</v>
      </c>
      <c r="F11" s="3">
        <f>'Volumes distribuídos'!F11</f>
        <v>1740.2502826669001</v>
      </c>
      <c r="G11" s="3">
        <f>'Volumes distribuídos'!G11</f>
        <v>1026.4326310005999</v>
      </c>
      <c r="H11" s="3">
        <f>'Volumes distribuídos'!H11</f>
        <v>3425.2595589989014</v>
      </c>
      <c r="I11" s="3">
        <f>'Volumes distribuídos'!I11</f>
        <v>4120.4177386666997</v>
      </c>
    </row>
    <row r="12" spans="1:9">
      <c r="A12" s="6" t="s">
        <v>4</v>
      </c>
      <c r="B12" s="15" t="s">
        <v>246</v>
      </c>
      <c r="C12" s="17" t="s">
        <v>217</v>
      </c>
      <c r="D12" s="3">
        <f>'Volumes distribuídos'!D12</f>
        <v>0</v>
      </c>
      <c r="E12" s="3">
        <f>'Volumes distribuídos'!E12</f>
        <v>0</v>
      </c>
      <c r="F12" s="3">
        <f>'Volumes distribuídos'!F12</f>
        <v>0</v>
      </c>
      <c r="G12" s="3">
        <f>'Volumes distribuídos'!G12</f>
        <v>0</v>
      </c>
      <c r="H12" s="3">
        <f>'Volumes distribuídos'!H12</f>
        <v>0</v>
      </c>
      <c r="I12" s="3">
        <f>'Volumes distribuídos'!I12</f>
        <v>0</v>
      </c>
    </row>
    <row r="13" spans="1:9">
      <c r="A13" s="6" t="s">
        <v>4</v>
      </c>
      <c r="B13" s="15" t="s">
        <v>245</v>
      </c>
      <c r="C13" s="16" t="s">
        <v>218</v>
      </c>
      <c r="D13" s="51">
        <f>'Volumes distribuídos'!D13</f>
        <v>1377025.1121541681</v>
      </c>
      <c r="E13" s="51">
        <f>'Volumes distribuídos'!E13</f>
        <v>1274839.5772456666</v>
      </c>
      <c r="F13" s="51">
        <f>'Volumes distribuídos'!F13</f>
        <v>1154671.2577401677</v>
      </c>
      <c r="G13" s="51">
        <f>'Volumes distribuídos'!G13</f>
        <v>1313144.5753103346</v>
      </c>
      <c r="H13" s="51">
        <f>'Volumes distribuídos'!H13</f>
        <v>1474021.8914308297</v>
      </c>
      <c r="I13" s="51">
        <f>'Volumes distribuídos'!I13</f>
        <v>1627248.9006084944</v>
      </c>
    </row>
    <row r="14" spans="1:9">
      <c r="A14" s="6" t="s">
        <v>4</v>
      </c>
      <c r="B14" s="15" t="s">
        <v>245</v>
      </c>
      <c r="C14" s="16" t="s">
        <v>219</v>
      </c>
      <c r="D14" s="51">
        <f>'Volumes distribuídos'!D14</f>
        <v>356808.9176209998</v>
      </c>
      <c r="E14" s="51">
        <f>'Volumes distribuídos'!E14</f>
        <v>293190.84737533313</v>
      </c>
      <c r="F14" s="51">
        <f>'Volumes distribuídos'!F14</f>
        <v>284356.57467766682</v>
      </c>
      <c r="G14" s="51">
        <f>'Volumes distribuídos'!G14</f>
        <v>234688.22182649974</v>
      </c>
      <c r="H14" s="51">
        <f>'Volumes distribuídos'!H14</f>
        <v>262764.12456349999</v>
      </c>
      <c r="I14" s="51">
        <f>'Volumes distribuídos'!I14</f>
        <v>227600.42046966715</v>
      </c>
    </row>
    <row r="15" spans="1:9">
      <c r="A15" s="6" t="s">
        <v>4</v>
      </c>
      <c r="B15" s="15" t="s">
        <v>247</v>
      </c>
      <c r="C15" s="44" t="s">
        <v>248</v>
      </c>
      <c r="D15" s="51">
        <f t="shared" ref="D15:I15" si="3">SUM(D2,D5,D9,D13,D14)</f>
        <v>25941651.690164264</v>
      </c>
      <c r="E15" s="51">
        <f t="shared" si="3"/>
        <v>17126885.479811128</v>
      </c>
      <c r="F15" s="51">
        <f t="shared" si="3"/>
        <v>15056142.688719869</v>
      </c>
      <c r="G15" s="51">
        <f t="shared" si="3"/>
        <v>18795598.698578361</v>
      </c>
      <c r="H15" s="51">
        <f t="shared" si="3"/>
        <v>17873674.816810168</v>
      </c>
      <c r="I15" s="51">
        <f t="shared" si="3"/>
        <v>19460495.383694001</v>
      </c>
    </row>
    <row r="16" spans="1:9">
      <c r="B16" s="15"/>
      <c r="C16" s="15"/>
    </row>
    <row r="17" spans="1:12">
      <c r="A17" s="6" t="s">
        <v>4</v>
      </c>
      <c r="B17" s="15" t="s">
        <v>314</v>
      </c>
      <c r="C17" s="16" t="s">
        <v>313</v>
      </c>
      <c r="D17" s="51">
        <v>16175375</v>
      </c>
      <c r="E17" s="51">
        <v>22117095.18</v>
      </c>
      <c r="F17" s="51">
        <v>21207420.600000001</v>
      </c>
      <c r="G17" s="51">
        <v>20100721.960000001</v>
      </c>
      <c r="H17" s="51">
        <v>19707675.23</v>
      </c>
      <c r="I17" s="51">
        <v>19776571.129999999</v>
      </c>
      <c r="J17" s="51"/>
      <c r="K17" s="51"/>
      <c r="L17" s="51"/>
    </row>
    <row r="20" spans="1:12">
      <c r="D20" s="51"/>
    </row>
    <row r="21" spans="1:12">
      <c r="D21" s="3"/>
      <c r="E21" s="3"/>
    </row>
    <row r="22" spans="1:12">
      <c r="D22" s="3"/>
    </row>
    <row r="23" spans="1:12">
      <c r="D23" s="51"/>
    </row>
    <row r="24" spans="1:12">
      <c r="D24" s="3"/>
    </row>
    <row r="25" spans="1:12">
      <c r="D25" s="3"/>
    </row>
    <row r="26" spans="1:12">
      <c r="D26" s="3"/>
    </row>
    <row r="27" spans="1:12">
      <c r="D27" s="51"/>
    </row>
    <row r="28" spans="1:12">
      <c r="D28" s="3"/>
    </row>
    <row r="29" spans="1:12">
      <c r="D29" s="3"/>
    </row>
    <row r="30" spans="1:12">
      <c r="D30" s="3"/>
    </row>
    <row r="31" spans="1:12">
      <c r="D31" s="51"/>
    </row>
    <row r="32" spans="1:12">
      <c r="D32" s="51"/>
    </row>
    <row r="33" spans="4:4">
      <c r="D33" s="51"/>
    </row>
  </sheetData>
  <sheetProtection algorithmName="SHA-512" hashValue="jzZVxQG46TDBAbIwcSdg4ltYJcImO7h8+UsK9xQNAbKGV2rCKlq+SuF/E889RK1wQfqubN1uoev8BBkE39MraA==" saltValue="c0V3zy6CBHNmCbiA6mJvS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Preço Gás Adquirido</vt:lpstr>
      <vt:lpstr>Volume Gás Adquirido</vt:lpstr>
      <vt:lpstr>Montantes Aquisição</vt:lpstr>
      <vt:lpstr>Encargos</vt:lpstr>
      <vt:lpstr>Custos de Aquisição</vt:lpstr>
      <vt:lpstr>Custo Distribuição</vt:lpstr>
      <vt:lpstr>Volumes distribuídos</vt:lpstr>
      <vt:lpstr>CONTA GRÁFICA</vt:lpstr>
      <vt:lpstr>Volume projetado</vt:lpstr>
      <vt:lpstr>Atualização PV</vt:lpstr>
      <vt:lpstr>Indicadores</vt:lpstr>
      <vt:lpstr>Indicador - Dados primários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Hirt Kafer</dc:creator>
  <cp:lastModifiedBy>Sulgás</cp:lastModifiedBy>
  <cp:revision/>
  <dcterms:created xsi:type="dcterms:W3CDTF">2025-03-13T17:57:04Z</dcterms:created>
  <dcterms:modified xsi:type="dcterms:W3CDTF">2025-12-23T19:43:49Z</dcterms:modified>
</cp:coreProperties>
</file>